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ella\Documents\"/>
    </mc:Choice>
  </mc:AlternateContent>
  <bookViews>
    <workbookView xWindow="0" yWindow="0" windowWidth="20490" windowHeight="7650" activeTab="3"/>
  </bookViews>
  <sheets>
    <sheet name="calculos_1" sheetId="1" r:id="rId1"/>
    <sheet name="calculos_2" sheetId="2" r:id="rId2"/>
    <sheet name="calculos_3" sheetId="3" r:id="rId3"/>
    <sheet name="grafic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37" i="3" s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2" i="3"/>
  <c r="L36" i="3" s="1"/>
  <c r="J3" i="3"/>
  <c r="J4" i="3"/>
  <c r="J36" i="3" s="1"/>
  <c r="J5" i="3"/>
  <c r="J35" i="3" s="1"/>
  <c r="J6" i="3"/>
  <c r="J7" i="3"/>
  <c r="J37" i="3" s="1"/>
  <c r="J8" i="3"/>
  <c r="J9" i="3"/>
  <c r="J10" i="3"/>
  <c r="J38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H3" i="3"/>
  <c r="H4" i="3"/>
  <c r="H35" i="3" s="1"/>
  <c r="H5" i="3"/>
  <c r="H6" i="3"/>
  <c r="H7" i="3"/>
  <c r="H37" i="3" s="1"/>
  <c r="H8" i="3"/>
  <c r="H9" i="3"/>
  <c r="H38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2" i="3"/>
  <c r="H36" i="3" s="1"/>
  <c r="F3" i="3"/>
  <c r="F4" i="3"/>
  <c r="F5" i="3"/>
  <c r="F6" i="3"/>
  <c r="F7" i="3"/>
  <c r="F37" i="3" s="1"/>
  <c r="F8" i="3"/>
  <c r="F38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  <c r="F36" i="3" s="1"/>
  <c r="D3" i="3"/>
  <c r="D4" i="3"/>
  <c r="D5" i="3"/>
  <c r="D6" i="3"/>
  <c r="D7" i="3"/>
  <c r="D3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D36" i="3" s="1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C2" i="2"/>
  <c r="E2" i="2" s="1"/>
  <c r="C3" i="2"/>
  <c r="E3" i="2" s="1"/>
  <c r="C4" i="2"/>
  <c r="E4" i="2" s="1"/>
  <c r="C5" i="2"/>
  <c r="D5" i="2" s="1"/>
  <c r="C6" i="2"/>
  <c r="E6" i="2" s="1"/>
  <c r="C7" i="2"/>
  <c r="E7" i="2" s="1"/>
  <c r="C8" i="2"/>
  <c r="E8" i="2" s="1"/>
  <c r="C9" i="2"/>
  <c r="D9" i="2" s="1"/>
  <c r="C10" i="2"/>
  <c r="E10" i="2" s="1"/>
  <c r="C11" i="2"/>
  <c r="E11" i="2" s="1"/>
  <c r="C12" i="2"/>
  <c r="E12" i="2" s="1"/>
  <c r="C13" i="2"/>
  <c r="D13" i="2" s="1"/>
  <c r="C14" i="2"/>
  <c r="E14" i="2" s="1"/>
  <c r="C15" i="2"/>
  <c r="E15" i="2" s="1"/>
  <c r="C16" i="2"/>
  <c r="E16" i="2" s="1"/>
  <c r="C17" i="2"/>
  <c r="D17" i="2" s="1"/>
  <c r="C18" i="2"/>
  <c r="E18" i="2" s="1"/>
  <c r="C19" i="2"/>
  <c r="E19" i="2" s="1"/>
  <c r="C20" i="2"/>
  <c r="E20" i="2" s="1"/>
  <c r="C21" i="2"/>
  <c r="D21" i="2" s="1"/>
  <c r="C22" i="2"/>
  <c r="E22" i="2" s="1"/>
  <c r="C23" i="2"/>
  <c r="E23" i="2" s="1"/>
  <c r="C24" i="2"/>
  <c r="E24" i="2" s="1"/>
  <c r="C25" i="2"/>
  <c r="D25" i="2" s="1"/>
  <c r="C26" i="2"/>
  <c r="E26" i="2" s="1"/>
  <c r="C27" i="2"/>
  <c r="E27" i="2" s="1"/>
  <c r="C28" i="2"/>
  <c r="E28" i="2" s="1"/>
  <c r="C29" i="2"/>
  <c r="D29" i="2" s="1"/>
  <c r="C30" i="2"/>
  <c r="E30" i="2" s="1"/>
  <c r="C31" i="2"/>
  <c r="E31" i="2" s="1"/>
  <c r="C32" i="2"/>
  <c r="E32" i="2" s="1"/>
  <c r="C33" i="2"/>
  <c r="D33" i="2" s="1"/>
  <c r="C34" i="2"/>
  <c r="E34" i="2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G2" i="1"/>
  <c r="G3" i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18" i="1"/>
  <c r="G19" i="1"/>
  <c r="G20" i="1"/>
  <c r="G21" i="1"/>
  <c r="G22" i="1"/>
  <c r="H22" i="1" s="1"/>
  <c r="G23" i="1"/>
  <c r="G24" i="1"/>
  <c r="G25" i="1"/>
  <c r="G26" i="1"/>
  <c r="H26" i="1" s="1"/>
  <c r="G27" i="1"/>
  <c r="G28" i="1"/>
  <c r="G29" i="1"/>
  <c r="G30" i="1"/>
  <c r="G31" i="1"/>
  <c r="G32" i="1"/>
  <c r="G33" i="1"/>
  <c r="G34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I8" i="1" s="1"/>
  <c r="D9" i="1"/>
  <c r="E9" i="1" s="1"/>
  <c r="D10" i="1"/>
  <c r="E10" i="1" s="1"/>
  <c r="D11" i="1"/>
  <c r="E11" i="1" s="1"/>
  <c r="I11" i="1" s="1"/>
  <c r="D12" i="1"/>
  <c r="E12" i="1" s="1"/>
  <c r="D13" i="1"/>
  <c r="E13" i="1" s="1"/>
  <c r="D14" i="1"/>
  <c r="E14" i="1" s="1"/>
  <c r="D15" i="1"/>
  <c r="E15" i="1" s="1"/>
  <c r="I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I23" i="1" s="1"/>
  <c r="D24" i="1"/>
  <c r="E24" i="1" s="1"/>
  <c r="D25" i="1"/>
  <c r="E25" i="1" s="1"/>
  <c r="I25" i="1" s="1"/>
  <c r="D26" i="1"/>
  <c r="E26" i="1" s="1"/>
  <c r="D27" i="1"/>
  <c r="E27" i="1" s="1"/>
  <c r="D28" i="1"/>
  <c r="E28" i="1" s="1"/>
  <c r="D29" i="1"/>
  <c r="E29" i="1" s="1"/>
  <c r="I29" i="1" s="1"/>
  <c r="D30" i="1"/>
  <c r="E30" i="1" s="1"/>
  <c r="D31" i="1"/>
  <c r="E31" i="1" s="1"/>
  <c r="D32" i="1"/>
  <c r="E32" i="1" s="1"/>
  <c r="D33" i="1"/>
  <c r="E33" i="1" s="1"/>
  <c r="D34" i="1"/>
  <c r="E34" i="1" s="1"/>
  <c r="D38" i="3" l="1"/>
  <c r="L38" i="3"/>
  <c r="D35" i="3"/>
  <c r="F35" i="3"/>
  <c r="L35" i="3"/>
  <c r="W29" i="2"/>
  <c r="W17" i="2"/>
  <c r="W5" i="2"/>
  <c r="W25" i="2"/>
  <c r="W9" i="2"/>
  <c r="W33" i="2"/>
  <c r="W21" i="2"/>
  <c r="W13" i="2"/>
  <c r="N25" i="2"/>
  <c r="N9" i="2"/>
  <c r="N33" i="2"/>
  <c r="N17" i="2"/>
  <c r="N29" i="2"/>
  <c r="N13" i="2"/>
  <c r="N21" i="2"/>
  <c r="N5" i="2"/>
  <c r="E29" i="2"/>
  <c r="J29" i="2" s="1"/>
  <c r="E13" i="2"/>
  <c r="J13" i="2" s="1"/>
  <c r="D24" i="2"/>
  <c r="N24" i="2" s="1"/>
  <c r="D8" i="2"/>
  <c r="J8" i="2" s="1"/>
  <c r="E25" i="2"/>
  <c r="J25" i="2" s="1"/>
  <c r="E9" i="2"/>
  <c r="J9" i="2" s="1"/>
  <c r="J24" i="2"/>
  <c r="D12" i="2"/>
  <c r="J12" i="2" s="1"/>
  <c r="D20" i="2"/>
  <c r="J20" i="2" s="1"/>
  <c r="D4" i="2"/>
  <c r="J4" i="2" s="1"/>
  <c r="E21" i="2"/>
  <c r="J21" i="2" s="1"/>
  <c r="E5" i="2"/>
  <c r="J5" i="2" s="1"/>
  <c r="D28" i="2"/>
  <c r="J28" i="2" s="1"/>
  <c r="D32" i="2"/>
  <c r="J32" i="2" s="1"/>
  <c r="D16" i="2"/>
  <c r="J16" i="2" s="1"/>
  <c r="E33" i="2"/>
  <c r="J33" i="2" s="1"/>
  <c r="E17" i="2"/>
  <c r="J17" i="2" s="1"/>
  <c r="D31" i="2"/>
  <c r="J31" i="2" s="1"/>
  <c r="D27" i="2"/>
  <c r="J27" i="2" s="1"/>
  <c r="D23" i="2"/>
  <c r="J23" i="2" s="1"/>
  <c r="D19" i="2"/>
  <c r="J19" i="2" s="1"/>
  <c r="D15" i="2"/>
  <c r="J15" i="2" s="1"/>
  <c r="D11" i="2"/>
  <c r="J11" i="2" s="1"/>
  <c r="D7" i="2"/>
  <c r="J7" i="2" s="1"/>
  <c r="D3" i="2"/>
  <c r="J3" i="2" s="1"/>
  <c r="D34" i="2"/>
  <c r="J34" i="2" s="1"/>
  <c r="D30" i="2"/>
  <c r="J30" i="2" s="1"/>
  <c r="D26" i="2"/>
  <c r="J26" i="2" s="1"/>
  <c r="D22" i="2"/>
  <c r="J22" i="2" s="1"/>
  <c r="D18" i="2"/>
  <c r="J18" i="2" s="1"/>
  <c r="D14" i="2"/>
  <c r="J14" i="2" s="1"/>
  <c r="D10" i="2"/>
  <c r="J10" i="2" s="1"/>
  <c r="D6" i="2"/>
  <c r="J6" i="2" s="1"/>
  <c r="D2" i="2"/>
  <c r="J2" i="2" s="1"/>
  <c r="F29" i="1"/>
  <c r="F9" i="1"/>
  <c r="F32" i="1"/>
  <c r="F28" i="1"/>
  <c r="F24" i="1"/>
  <c r="F20" i="1"/>
  <c r="F16" i="1"/>
  <c r="F12" i="1"/>
  <c r="F8" i="1"/>
  <c r="F4" i="1"/>
  <c r="F33" i="1"/>
  <c r="F21" i="1"/>
  <c r="F17" i="1"/>
  <c r="I28" i="1"/>
  <c r="I24" i="1"/>
  <c r="H20" i="1"/>
  <c r="F31" i="1"/>
  <c r="F27" i="1"/>
  <c r="F23" i="1"/>
  <c r="F19" i="1"/>
  <c r="F15" i="1"/>
  <c r="F11" i="1"/>
  <c r="F7" i="1"/>
  <c r="F3" i="1"/>
  <c r="F25" i="1"/>
  <c r="F13" i="1"/>
  <c r="F5" i="1"/>
  <c r="I32" i="1"/>
  <c r="I27" i="1"/>
  <c r="I19" i="1"/>
  <c r="F34" i="1"/>
  <c r="F30" i="1"/>
  <c r="F26" i="1"/>
  <c r="F22" i="1"/>
  <c r="F18" i="1"/>
  <c r="F14" i="1"/>
  <c r="F10" i="1"/>
  <c r="F6" i="1"/>
  <c r="F2" i="1"/>
  <c r="I20" i="1"/>
  <c r="I6" i="1"/>
  <c r="H33" i="1"/>
  <c r="H29" i="1"/>
  <c r="H25" i="1"/>
  <c r="H21" i="1"/>
  <c r="H17" i="1"/>
  <c r="H13" i="1"/>
  <c r="H9" i="1"/>
  <c r="H5" i="1"/>
  <c r="I33" i="1"/>
  <c r="I14" i="1"/>
  <c r="I10" i="1"/>
  <c r="I5" i="1"/>
  <c r="H16" i="1"/>
  <c r="H12" i="1"/>
  <c r="H4" i="1"/>
  <c r="I22" i="1"/>
  <c r="I17" i="1"/>
  <c r="I13" i="1"/>
  <c r="I9" i="1"/>
  <c r="I4" i="1"/>
  <c r="H32" i="1"/>
  <c r="H28" i="1"/>
  <c r="H24" i="1"/>
  <c r="I34" i="1"/>
  <c r="I30" i="1"/>
  <c r="I18" i="1"/>
  <c r="H31" i="1"/>
  <c r="H27" i="1"/>
  <c r="H23" i="1"/>
  <c r="H19" i="1"/>
  <c r="H15" i="1"/>
  <c r="H11" i="1"/>
  <c r="H7" i="1"/>
  <c r="H3" i="1"/>
  <c r="I31" i="1"/>
  <c r="I26" i="1"/>
  <c r="I21" i="1"/>
  <c r="I16" i="1"/>
  <c r="I12" i="1"/>
  <c r="I7" i="1"/>
  <c r="I3" i="1"/>
  <c r="H34" i="1"/>
  <c r="H30" i="1"/>
  <c r="H18" i="1"/>
  <c r="H8" i="1"/>
  <c r="H2" i="1"/>
  <c r="I2" i="1"/>
  <c r="W32" i="2" l="1"/>
  <c r="W6" i="2"/>
  <c r="W23" i="2"/>
  <c r="W10" i="2"/>
  <c r="W22" i="2"/>
  <c r="W26" i="2"/>
  <c r="W7" i="2"/>
  <c r="W20" i="2"/>
  <c r="W16" i="2"/>
  <c r="W27" i="2"/>
  <c r="W14" i="2"/>
  <c r="W30" i="2"/>
  <c r="W15" i="2"/>
  <c r="W31" i="2"/>
  <c r="W8" i="2"/>
  <c r="W24" i="2"/>
  <c r="W11" i="2"/>
  <c r="W4" i="2"/>
  <c r="W2" i="2"/>
  <c r="W18" i="2"/>
  <c r="W34" i="2"/>
  <c r="W3" i="2"/>
  <c r="W19" i="2"/>
  <c r="W12" i="2"/>
  <c r="W28" i="2"/>
  <c r="S4" i="2"/>
  <c r="S6" i="2"/>
  <c r="S22" i="2"/>
  <c r="S20" i="2"/>
  <c r="S19" i="2"/>
  <c r="S3" i="2"/>
  <c r="S5" i="2"/>
  <c r="S21" i="2"/>
  <c r="S10" i="2"/>
  <c r="S26" i="2"/>
  <c r="S7" i="2"/>
  <c r="S23" i="2"/>
  <c r="S8" i="2"/>
  <c r="S24" i="2"/>
  <c r="S9" i="2"/>
  <c r="S25" i="2"/>
  <c r="S14" i="2"/>
  <c r="S30" i="2"/>
  <c r="S11" i="2"/>
  <c r="S27" i="2"/>
  <c r="S12" i="2"/>
  <c r="S28" i="2"/>
  <c r="S13" i="2"/>
  <c r="S29" i="2"/>
  <c r="S2" i="2"/>
  <c r="S18" i="2"/>
  <c r="S34" i="2"/>
  <c r="S15" i="2"/>
  <c r="S31" i="2"/>
  <c r="S16" i="2"/>
  <c r="S32" i="2"/>
  <c r="S17" i="2"/>
  <c r="S33" i="2"/>
  <c r="N22" i="2"/>
  <c r="N26" i="2"/>
  <c r="N19" i="2"/>
  <c r="N23" i="2"/>
  <c r="N6" i="2"/>
  <c r="N3" i="2"/>
  <c r="N8" i="2"/>
  <c r="N10" i="2"/>
  <c r="N7" i="2"/>
  <c r="N20" i="2"/>
  <c r="N14" i="2"/>
  <c r="N30" i="2"/>
  <c r="N11" i="2"/>
  <c r="N27" i="2"/>
  <c r="N12" i="2"/>
  <c r="N28" i="2"/>
  <c r="N4" i="2"/>
  <c r="N2" i="2"/>
  <c r="N18" i="2"/>
  <c r="N34" i="2"/>
  <c r="N15" i="2"/>
  <c r="N31" i="2"/>
  <c r="N16" i="2"/>
  <c r="N32" i="2"/>
</calcChain>
</file>

<file path=xl/sharedStrings.xml><?xml version="1.0" encoding="utf-8"?>
<sst xmlns="http://schemas.openxmlformats.org/spreadsheetml/2006/main" count="54" uniqueCount="46">
  <si>
    <t>Temperatura ºC</t>
  </si>
  <si>
    <t>Resistência medida (ohm)</t>
  </si>
  <si>
    <t>Rref</t>
  </si>
  <si>
    <t>ln(R/Rref)</t>
  </si>
  <si>
    <t>ln²(R/Rref)</t>
  </si>
  <si>
    <t>T</t>
  </si>
  <si>
    <t>T*ln(R/Rref)</t>
  </si>
  <si>
    <t>T*ln²(R/Rref)</t>
  </si>
  <si>
    <t>ln³(R/Rref)</t>
  </si>
  <si>
    <t>T*ln³(R/Rref)</t>
  </si>
  <si>
    <t>A1-D</t>
  </si>
  <si>
    <t>B1-D</t>
  </si>
  <si>
    <t>C1-D</t>
  </si>
  <si>
    <t>D1_D</t>
  </si>
  <si>
    <t>A1-C1</t>
  </si>
  <si>
    <t>B1-C1</t>
  </si>
  <si>
    <t>T_D</t>
  </si>
  <si>
    <t>C1-C1</t>
  </si>
  <si>
    <t>T_C1</t>
  </si>
  <si>
    <t>A1_C2</t>
  </si>
  <si>
    <t>B1_C2</t>
  </si>
  <si>
    <t>C1_C2</t>
  </si>
  <si>
    <t>D1_C2</t>
  </si>
  <si>
    <t>T_C2</t>
  </si>
  <si>
    <t>A1-C3</t>
  </si>
  <si>
    <t>B1-C3</t>
  </si>
  <si>
    <t>C1-C3</t>
  </si>
  <si>
    <t>T_C3</t>
  </si>
  <si>
    <t>A1-C4</t>
  </si>
  <si>
    <t>B1-C4</t>
  </si>
  <si>
    <t>C1-C4</t>
  </si>
  <si>
    <t>T_C4</t>
  </si>
  <si>
    <t>D1-C4</t>
  </si>
  <si>
    <t>Erro_D</t>
  </si>
  <si>
    <t>Erro_C1</t>
  </si>
  <si>
    <t>Erro_C2</t>
  </si>
  <si>
    <t>Erro_C3</t>
  </si>
  <si>
    <t>Erro_C4</t>
  </si>
  <si>
    <t>Média Geral</t>
  </si>
  <si>
    <t>Média entre 32ºC e 43ºC</t>
  </si>
  <si>
    <t>Desvio padrão</t>
  </si>
  <si>
    <t>T_D (ºC)</t>
  </si>
  <si>
    <t>T_C1 (ºC)</t>
  </si>
  <si>
    <t>T_C2 (ºC)</t>
  </si>
  <si>
    <t>T_C3 (ºC)</t>
  </si>
  <si>
    <t>T_C4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</si>
</sst>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"/>
    <numFmt numFmtId="169" formatCode="0.000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2" fillId="0" borderId="0" xfId="0" applyFont="1" applyFill="1"/>
    <xf numFmtId="0" fontId="1" fillId="0" borderId="0" xfId="0" applyFont="1"/>
    <xf numFmtId="168" fontId="0" fillId="0" borderId="0" xfId="0" applyNumberFormat="1"/>
    <xf numFmtId="168" fontId="0" fillId="2" borderId="0" xfId="0" applyNumberFormat="1" applyFill="1"/>
    <xf numFmtId="169" fontId="0" fillId="0" borderId="0" xfId="0" applyNumberFormat="1"/>
    <xf numFmtId="169" fontId="1" fillId="0" borderId="0" xfId="0" applyNumberFormat="1" applyFont="1"/>
    <xf numFmtId="169" fontId="1" fillId="0" borderId="0" xfId="0" applyNumberFormat="1" applyFont="1" applyFill="1"/>
    <xf numFmtId="0" fontId="1" fillId="0" borderId="0" xfId="0" applyFont="1" applyFill="1"/>
    <xf numFmtId="169" fontId="0" fillId="0" borderId="0" xfId="0" applyNumberFormat="1" applyFill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3">
    <dxf>
      <numFmt numFmtId="1" formatCode="0"/>
    </dxf>
    <dxf>
      <numFmt numFmtId="170" formatCode="0.0"/>
    </dxf>
    <dxf>
      <numFmt numFmtId="168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  <fill>
        <patternFill patternType="none">
          <fgColor indexed="64"/>
          <bgColor indexed="65"/>
        </patternFill>
      </fill>
    </dxf>
    <dxf>
      <numFmt numFmtId="169" formatCode="0.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  <fill>
        <patternFill patternType="none">
          <fgColor indexed="64"/>
          <bgColor indexed="65"/>
        </patternFill>
      </fill>
    </dxf>
    <dxf>
      <numFmt numFmtId="169" formatCode="0.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  <fill>
        <patternFill patternType="none">
          <fgColor indexed="64"/>
          <bgColor indexed="65"/>
        </patternFill>
      </fill>
    </dxf>
    <dxf>
      <numFmt numFmtId="169" formatCode="0.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  <fill>
        <patternFill patternType="none">
          <fgColor indexed="64"/>
          <bgColor indexed="65"/>
        </patternFill>
      </fill>
    </dxf>
    <dxf>
      <numFmt numFmtId="169" formatCode="0.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da Tempratura (ºC) em função da Resistência</a:t>
            </a:r>
            <a:r>
              <a:rPr lang="pt-BR" baseline="0"/>
              <a:t> (em Ohms)</a:t>
            </a:r>
            <a:r>
              <a:rPr lang="pt-BR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Temperatura medida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6242521923565525E-2"/>
                  <c:y val="-0.47938244439999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calculos_3!$A$7:$A$33</c:f>
              <c:numCache>
                <c:formatCode>0</c:formatCode>
                <c:ptCount val="27"/>
                <c:pt idx="0">
                  <c:v>7740</c:v>
                </c:pt>
                <c:pt idx="1">
                  <c:v>7520</c:v>
                </c:pt>
                <c:pt idx="2">
                  <c:v>7390</c:v>
                </c:pt>
                <c:pt idx="3">
                  <c:v>7300</c:v>
                </c:pt>
                <c:pt idx="4">
                  <c:v>7250</c:v>
                </c:pt>
                <c:pt idx="5">
                  <c:v>7090</c:v>
                </c:pt>
                <c:pt idx="6">
                  <c:v>6900</c:v>
                </c:pt>
                <c:pt idx="7">
                  <c:v>6850</c:v>
                </c:pt>
                <c:pt idx="8">
                  <c:v>6830</c:v>
                </c:pt>
                <c:pt idx="9">
                  <c:v>6650</c:v>
                </c:pt>
                <c:pt idx="10">
                  <c:v>6630</c:v>
                </c:pt>
                <c:pt idx="11">
                  <c:v>6730</c:v>
                </c:pt>
                <c:pt idx="12">
                  <c:v>6520</c:v>
                </c:pt>
                <c:pt idx="13">
                  <c:v>6480</c:v>
                </c:pt>
                <c:pt idx="14">
                  <c:v>6240</c:v>
                </c:pt>
                <c:pt idx="15">
                  <c:v>6220</c:v>
                </c:pt>
                <c:pt idx="16">
                  <c:v>6010</c:v>
                </c:pt>
                <c:pt idx="17">
                  <c:v>5960</c:v>
                </c:pt>
                <c:pt idx="18">
                  <c:v>5700</c:v>
                </c:pt>
                <c:pt idx="19">
                  <c:v>5630</c:v>
                </c:pt>
                <c:pt idx="20">
                  <c:v>5330</c:v>
                </c:pt>
                <c:pt idx="21">
                  <c:v>5180</c:v>
                </c:pt>
                <c:pt idx="22">
                  <c:v>5070</c:v>
                </c:pt>
                <c:pt idx="23">
                  <c:v>4920</c:v>
                </c:pt>
                <c:pt idx="24">
                  <c:v>4860</c:v>
                </c:pt>
                <c:pt idx="25">
                  <c:v>4640</c:v>
                </c:pt>
                <c:pt idx="26">
                  <c:v>4240</c:v>
                </c:pt>
              </c:numCache>
            </c:numRef>
          </c:xVal>
          <c:yVal>
            <c:numRef>
              <c:f>calculos_3!$B$7:$B$33</c:f>
              <c:numCache>
                <c:formatCode>0.0</c:formatCode>
                <c:ptCount val="27"/>
                <c:pt idx="0">
                  <c:v>31</c:v>
                </c:pt>
                <c:pt idx="1">
                  <c:v>32.200000000000003</c:v>
                </c:pt>
                <c:pt idx="2">
                  <c:v>32.6</c:v>
                </c:pt>
                <c:pt idx="3">
                  <c:v>32.799999999999997</c:v>
                </c:pt>
                <c:pt idx="4">
                  <c:v>33.1</c:v>
                </c:pt>
                <c:pt idx="5">
                  <c:v>33.799999999999997</c:v>
                </c:pt>
                <c:pt idx="6">
                  <c:v>33.9</c:v>
                </c:pt>
                <c:pt idx="7">
                  <c:v>34.4</c:v>
                </c:pt>
                <c:pt idx="8">
                  <c:v>34.5</c:v>
                </c:pt>
                <c:pt idx="9">
                  <c:v>35</c:v>
                </c:pt>
                <c:pt idx="10">
                  <c:v>35.299999999999997</c:v>
                </c:pt>
                <c:pt idx="11">
                  <c:v>35.4</c:v>
                </c:pt>
                <c:pt idx="12">
                  <c:v>35.5</c:v>
                </c:pt>
                <c:pt idx="13">
                  <c:v>36.200000000000003</c:v>
                </c:pt>
                <c:pt idx="14">
                  <c:v>36.6</c:v>
                </c:pt>
                <c:pt idx="15">
                  <c:v>36.9</c:v>
                </c:pt>
                <c:pt idx="16">
                  <c:v>37.5</c:v>
                </c:pt>
                <c:pt idx="17">
                  <c:v>37.799999999999997</c:v>
                </c:pt>
                <c:pt idx="18">
                  <c:v>38.799999999999997</c:v>
                </c:pt>
                <c:pt idx="19">
                  <c:v>39.700000000000003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41.7</c:v>
                </c:pt>
                <c:pt idx="23">
                  <c:v>42.5</c:v>
                </c:pt>
                <c:pt idx="24">
                  <c:v>42.7</c:v>
                </c:pt>
                <c:pt idx="25">
                  <c:v>43</c:v>
                </c:pt>
                <c:pt idx="26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D-4872-A5F5-8A95375D2F0B}"/>
            </c:ext>
          </c:extLst>
        </c:ser>
        <c:ser>
          <c:idx val="1"/>
          <c:order val="1"/>
          <c:tx>
            <c:v>Datasheet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calculos_3!$A$7:$A$33</c:f>
              <c:numCache>
                <c:formatCode>0</c:formatCode>
                <c:ptCount val="27"/>
                <c:pt idx="0">
                  <c:v>7740</c:v>
                </c:pt>
                <c:pt idx="1">
                  <c:v>7520</c:v>
                </c:pt>
                <c:pt idx="2">
                  <c:v>7390</c:v>
                </c:pt>
                <c:pt idx="3">
                  <c:v>7300</c:v>
                </c:pt>
                <c:pt idx="4">
                  <c:v>7250</c:v>
                </c:pt>
                <c:pt idx="5">
                  <c:v>7090</c:v>
                </c:pt>
                <c:pt idx="6">
                  <c:v>6900</c:v>
                </c:pt>
                <c:pt idx="7">
                  <c:v>6850</c:v>
                </c:pt>
                <c:pt idx="8">
                  <c:v>6830</c:v>
                </c:pt>
                <c:pt idx="9">
                  <c:v>6650</c:v>
                </c:pt>
                <c:pt idx="10">
                  <c:v>6630</c:v>
                </c:pt>
                <c:pt idx="11">
                  <c:v>6730</c:v>
                </c:pt>
                <c:pt idx="12">
                  <c:v>6520</c:v>
                </c:pt>
                <c:pt idx="13">
                  <c:v>6480</c:v>
                </c:pt>
                <c:pt idx="14">
                  <c:v>6240</c:v>
                </c:pt>
                <c:pt idx="15">
                  <c:v>6220</c:v>
                </c:pt>
                <c:pt idx="16">
                  <c:v>6010</c:v>
                </c:pt>
                <c:pt idx="17">
                  <c:v>5960</c:v>
                </c:pt>
                <c:pt idx="18">
                  <c:v>5700</c:v>
                </c:pt>
                <c:pt idx="19">
                  <c:v>5630</c:v>
                </c:pt>
                <c:pt idx="20">
                  <c:v>5330</c:v>
                </c:pt>
                <c:pt idx="21">
                  <c:v>5180</c:v>
                </c:pt>
                <c:pt idx="22">
                  <c:v>5070</c:v>
                </c:pt>
                <c:pt idx="23">
                  <c:v>4920</c:v>
                </c:pt>
                <c:pt idx="24">
                  <c:v>4860</c:v>
                </c:pt>
                <c:pt idx="25">
                  <c:v>4640</c:v>
                </c:pt>
                <c:pt idx="26">
                  <c:v>4240</c:v>
                </c:pt>
              </c:numCache>
            </c:numRef>
          </c:xVal>
          <c:yVal>
            <c:numRef>
              <c:f>calculos_3!$C$7:$C$33</c:f>
              <c:numCache>
                <c:formatCode>0.0000</c:formatCode>
                <c:ptCount val="27"/>
                <c:pt idx="0">
                  <c:v>30.953734530744612</c:v>
                </c:pt>
                <c:pt idx="1">
                  <c:v>31.636819546722108</c:v>
                </c:pt>
                <c:pt idx="2">
                  <c:v>32.05121588142606</c:v>
                </c:pt>
                <c:pt idx="3">
                  <c:v>32.342986147459158</c:v>
                </c:pt>
                <c:pt idx="4">
                  <c:v>32.506851901949233</c:v>
                </c:pt>
                <c:pt idx="5">
                  <c:v>33.039979386762411</c:v>
                </c:pt>
                <c:pt idx="6">
                  <c:v>33.691111574519368</c:v>
                </c:pt>
                <c:pt idx="7">
                  <c:v>33.865853090845349</c:v>
                </c:pt>
                <c:pt idx="8">
                  <c:v>33.936156038710806</c:v>
                </c:pt>
                <c:pt idx="9">
                  <c:v>34.57961042529746</c:v>
                </c:pt>
                <c:pt idx="10">
                  <c:v>34.652325500305949</c:v>
                </c:pt>
                <c:pt idx="11">
                  <c:v>34.291216370363372</c:v>
                </c:pt>
                <c:pt idx="12">
                  <c:v>35.056767900856528</c:v>
                </c:pt>
                <c:pt idx="13">
                  <c:v>35.205765328087693</c:v>
                </c:pt>
                <c:pt idx="14">
                  <c:v>36.122292929774517</c:v>
                </c:pt>
                <c:pt idx="15">
                  <c:v>36.200474437919752</c:v>
                </c:pt>
                <c:pt idx="16">
                  <c:v>37.039066512081035</c:v>
                </c:pt>
                <c:pt idx="17">
                  <c:v>37.243650502344678</c:v>
                </c:pt>
                <c:pt idx="18">
                  <c:v>38.339951462794886</c:v>
                </c:pt>
                <c:pt idx="19">
                  <c:v>38.644858897675249</c:v>
                </c:pt>
                <c:pt idx="20">
                  <c:v>40.002351398354733</c:v>
                </c:pt>
                <c:pt idx="21">
                  <c:v>40.714142351169869</c:v>
                </c:pt>
                <c:pt idx="22">
                  <c:v>41.251217232821261</c:v>
                </c:pt>
                <c:pt idx="23">
                  <c:v>42.005390556371538</c:v>
                </c:pt>
                <c:pt idx="24">
                  <c:v>42.314431894127893</c:v>
                </c:pt>
                <c:pt idx="25">
                  <c:v>43.485984586129234</c:v>
                </c:pt>
                <c:pt idx="26">
                  <c:v>45.787973763297316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D-4872-A5F5-8A95375D2F0B}"/>
            </c:ext>
          </c:extLst>
        </c:ser>
        <c:ser>
          <c:idx val="2"/>
          <c:order val="2"/>
          <c:tx>
            <c:v>Calibração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calculos_3!$A$7:$A$33</c:f>
              <c:numCache>
                <c:formatCode>0</c:formatCode>
                <c:ptCount val="27"/>
                <c:pt idx="0">
                  <c:v>7740</c:v>
                </c:pt>
                <c:pt idx="1">
                  <c:v>7520</c:v>
                </c:pt>
                <c:pt idx="2">
                  <c:v>7390</c:v>
                </c:pt>
                <c:pt idx="3">
                  <c:v>7300</c:v>
                </c:pt>
                <c:pt idx="4">
                  <c:v>7250</c:v>
                </c:pt>
                <c:pt idx="5">
                  <c:v>7090</c:v>
                </c:pt>
                <c:pt idx="6">
                  <c:v>6900</c:v>
                </c:pt>
                <c:pt idx="7">
                  <c:v>6850</c:v>
                </c:pt>
                <c:pt idx="8">
                  <c:v>6830</c:v>
                </c:pt>
                <c:pt idx="9">
                  <c:v>6650</c:v>
                </c:pt>
                <c:pt idx="10">
                  <c:v>6630</c:v>
                </c:pt>
                <c:pt idx="11">
                  <c:v>6730</c:v>
                </c:pt>
                <c:pt idx="12">
                  <c:v>6520</c:v>
                </c:pt>
                <c:pt idx="13">
                  <c:v>6480</c:v>
                </c:pt>
                <c:pt idx="14">
                  <c:v>6240</c:v>
                </c:pt>
                <c:pt idx="15">
                  <c:v>6220</c:v>
                </c:pt>
                <c:pt idx="16">
                  <c:v>6010</c:v>
                </c:pt>
                <c:pt idx="17">
                  <c:v>5960</c:v>
                </c:pt>
                <c:pt idx="18">
                  <c:v>5700</c:v>
                </c:pt>
                <c:pt idx="19">
                  <c:v>5630</c:v>
                </c:pt>
                <c:pt idx="20">
                  <c:v>5330</c:v>
                </c:pt>
                <c:pt idx="21">
                  <c:v>5180</c:v>
                </c:pt>
                <c:pt idx="22">
                  <c:v>5070</c:v>
                </c:pt>
                <c:pt idx="23">
                  <c:v>4920</c:v>
                </c:pt>
                <c:pt idx="24">
                  <c:v>4860</c:v>
                </c:pt>
                <c:pt idx="25">
                  <c:v>4640</c:v>
                </c:pt>
                <c:pt idx="26">
                  <c:v>4240</c:v>
                </c:pt>
              </c:numCache>
            </c:numRef>
          </c:xVal>
          <c:yVal>
            <c:numRef>
              <c:f>calculos_3!$E$7:$E$33</c:f>
              <c:numCache>
                <c:formatCode>0.0000</c:formatCode>
                <c:ptCount val="27"/>
                <c:pt idx="0">
                  <c:v>32.01580757296972</c:v>
                </c:pt>
                <c:pt idx="1">
                  <c:v>32.709092366471339</c:v>
                </c:pt>
                <c:pt idx="2">
                  <c:v>33.129516947853006</c:v>
                </c:pt>
                <c:pt idx="3">
                  <c:v>33.425459126837495</c:v>
                </c:pt>
                <c:pt idx="4">
                  <c:v>33.591641617030348</c:v>
                </c:pt>
                <c:pt idx="5">
                  <c:v>34.132175185953258</c:v>
                </c:pt>
                <c:pt idx="6">
                  <c:v>34.79207950217733</c:v>
                </c:pt>
                <c:pt idx="7">
                  <c:v>34.969123862527852</c:v>
                </c:pt>
                <c:pt idx="8">
                  <c:v>35.040347167713378</c:v>
                </c:pt>
                <c:pt idx="9">
                  <c:v>35.692061329571231</c:v>
                </c:pt>
                <c:pt idx="10">
                  <c:v>35.76569120545571</c:v>
                </c:pt>
                <c:pt idx="11">
                  <c:v>35.400001844242013</c:v>
                </c:pt>
                <c:pt idx="12">
                  <c:v>36.17515259410078</c:v>
                </c:pt>
                <c:pt idx="13">
                  <c:v>36.325969439897221</c:v>
                </c:pt>
                <c:pt idx="14">
                  <c:v>37.253337321909271</c:v>
                </c:pt>
                <c:pt idx="15">
                  <c:v>37.332415466566658</c:v>
                </c:pt>
                <c:pt idx="16">
                  <c:v>38.180346595073445</c:v>
                </c:pt>
                <c:pt idx="17">
                  <c:v>38.387131469870212</c:v>
                </c:pt>
                <c:pt idx="18">
                  <c:v>39.494706197628147</c:v>
                </c:pt>
                <c:pt idx="19">
                  <c:v>39.802592822560314</c:v>
                </c:pt>
                <c:pt idx="20">
                  <c:v>41.172518850305778</c:v>
                </c:pt>
                <c:pt idx="21">
                  <c:v>41.890284773565099</c:v>
                </c:pt>
                <c:pt idx="22">
                  <c:v>42.431618805278276</c:v>
                </c:pt>
                <c:pt idx="23">
                  <c:v>43.191409712074119</c:v>
                </c:pt>
                <c:pt idx="24">
                  <c:v>43.502630067315863</c:v>
                </c:pt>
                <c:pt idx="25">
                  <c:v>44.681791565729327</c:v>
                </c:pt>
                <c:pt idx="26">
                  <c:v>46.995706129857638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D-4872-A5F5-8A95375D2F0B}"/>
            </c:ext>
          </c:extLst>
        </c:ser>
        <c:ser>
          <c:idx val="3"/>
          <c:order val="3"/>
          <c:tx>
            <c:v>Calibração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calculos_3!$A$7:$A$33</c:f>
              <c:numCache>
                <c:formatCode>0</c:formatCode>
                <c:ptCount val="27"/>
                <c:pt idx="0">
                  <c:v>7740</c:v>
                </c:pt>
                <c:pt idx="1">
                  <c:v>7520</c:v>
                </c:pt>
                <c:pt idx="2">
                  <c:v>7390</c:v>
                </c:pt>
                <c:pt idx="3">
                  <c:v>7300</c:v>
                </c:pt>
                <c:pt idx="4">
                  <c:v>7250</c:v>
                </c:pt>
                <c:pt idx="5">
                  <c:v>7090</c:v>
                </c:pt>
                <c:pt idx="6">
                  <c:v>6900</c:v>
                </c:pt>
                <c:pt idx="7">
                  <c:v>6850</c:v>
                </c:pt>
                <c:pt idx="8">
                  <c:v>6830</c:v>
                </c:pt>
                <c:pt idx="9">
                  <c:v>6650</c:v>
                </c:pt>
                <c:pt idx="10">
                  <c:v>6630</c:v>
                </c:pt>
                <c:pt idx="11">
                  <c:v>6730</c:v>
                </c:pt>
                <c:pt idx="12">
                  <c:v>6520</c:v>
                </c:pt>
                <c:pt idx="13">
                  <c:v>6480</c:v>
                </c:pt>
                <c:pt idx="14">
                  <c:v>6240</c:v>
                </c:pt>
                <c:pt idx="15">
                  <c:v>6220</c:v>
                </c:pt>
                <c:pt idx="16">
                  <c:v>6010</c:v>
                </c:pt>
                <c:pt idx="17">
                  <c:v>5960</c:v>
                </c:pt>
                <c:pt idx="18">
                  <c:v>5700</c:v>
                </c:pt>
                <c:pt idx="19">
                  <c:v>5630</c:v>
                </c:pt>
                <c:pt idx="20">
                  <c:v>5330</c:v>
                </c:pt>
                <c:pt idx="21">
                  <c:v>5180</c:v>
                </c:pt>
                <c:pt idx="22">
                  <c:v>5070</c:v>
                </c:pt>
                <c:pt idx="23">
                  <c:v>4920</c:v>
                </c:pt>
                <c:pt idx="24">
                  <c:v>4860</c:v>
                </c:pt>
                <c:pt idx="25">
                  <c:v>4640</c:v>
                </c:pt>
                <c:pt idx="26">
                  <c:v>4240</c:v>
                </c:pt>
              </c:numCache>
            </c:numRef>
          </c:xVal>
          <c:yVal>
            <c:numRef>
              <c:f>calculos_3!$G$7:$G$33</c:f>
              <c:numCache>
                <c:formatCode>0.0000</c:formatCode>
                <c:ptCount val="27"/>
                <c:pt idx="0">
                  <c:v>31.085258131963087</c:v>
                </c:pt>
                <c:pt idx="1">
                  <c:v>31.787001821625665</c:v>
                </c:pt>
                <c:pt idx="2">
                  <c:v>32.212943156498</c:v>
                </c:pt>
                <c:pt idx="3">
                  <c:v>32.512940131460141</c:v>
                </c:pt>
                <c:pt idx="4">
                  <c:v>32.681460803867651</c:v>
                </c:pt>
                <c:pt idx="5">
                  <c:v>33.229899577937374</c:v>
                </c:pt>
                <c:pt idx="6">
                  <c:v>33.900063202661329</c:v>
                </c:pt>
                <c:pt idx="7">
                  <c:v>34.079971236125857</c:v>
                </c:pt>
                <c:pt idx="8">
                  <c:v>34.152359641776229</c:v>
                </c:pt>
                <c:pt idx="9">
                  <c:v>34.815077787559062</c:v>
                </c:pt>
                <c:pt idx="10">
                  <c:v>34.889989225234501</c:v>
                </c:pt>
                <c:pt idx="11">
                  <c:v>34.518011074318622</c:v>
                </c:pt>
                <c:pt idx="12">
                  <c:v>35.306716691208123</c:v>
                </c:pt>
                <c:pt idx="13">
                  <c:v>35.460268650359353</c:v>
                </c:pt>
                <c:pt idx="14">
                  <c:v>36.405131875330881</c:v>
                </c:pt>
                <c:pt idx="15">
                  <c:v>36.485754633490728</c:v>
                </c:pt>
                <c:pt idx="16">
                  <c:v>37.350751107092606</c:v>
                </c:pt>
                <c:pt idx="17">
                  <c:v>37.561834177498099</c:v>
                </c:pt>
                <c:pt idx="18">
                  <c:v>38.693302648353153</c:v>
                </c:pt>
                <c:pt idx="19">
                  <c:v>39.008083582689721</c:v>
                </c:pt>
                <c:pt idx="20">
                  <c:v>40.409936907834435</c:v>
                </c:pt>
                <c:pt idx="21">
                  <c:v>41.145202620883765</c:v>
                </c:pt>
                <c:pt idx="22">
                  <c:v>41.700063838357551</c:v>
                </c:pt>
                <c:pt idx="23">
                  <c:v>42.479293531484416</c:v>
                </c:pt>
                <c:pt idx="24">
                  <c:v>42.798622317712272</c:v>
                </c:pt>
                <c:pt idx="25">
                  <c:v>44.00922701876209</c:v>
                </c:pt>
                <c:pt idx="26">
                  <c:v>46.387788767498932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D-4872-A5F5-8A95375D2F0B}"/>
            </c:ext>
          </c:extLst>
        </c:ser>
        <c:ser>
          <c:idx val="4"/>
          <c:order val="4"/>
          <c:tx>
            <c:v>Calibração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calculos_3!$A$7:$A$33</c:f>
              <c:numCache>
                <c:formatCode>0</c:formatCode>
                <c:ptCount val="27"/>
                <c:pt idx="0">
                  <c:v>7740</c:v>
                </c:pt>
                <c:pt idx="1">
                  <c:v>7520</c:v>
                </c:pt>
                <c:pt idx="2">
                  <c:v>7390</c:v>
                </c:pt>
                <c:pt idx="3">
                  <c:v>7300</c:v>
                </c:pt>
                <c:pt idx="4">
                  <c:v>7250</c:v>
                </c:pt>
                <c:pt idx="5">
                  <c:v>7090</c:v>
                </c:pt>
                <c:pt idx="6">
                  <c:v>6900</c:v>
                </c:pt>
                <c:pt idx="7">
                  <c:v>6850</c:v>
                </c:pt>
                <c:pt idx="8">
                  <c:v>6830</c:v>
                </c:pt>
                <c:pt idx="9">
                  <c:v>6650</c:v>
                </c:pt>
                <c:pt idx="10">
                  <c:v>6630</c:v>
                </c:pt>
                <c:pt idx="11">
                  <c:v>6730</c:v>
                </c:pt>
                <c:pt idx="12">
                  <c:v>6520</c:v>
                </c:pt>
                <c:pt idx="13">
                  <c:v>6480</c:v>
                </c:pt>
                <c:pt idx="14">
                  <c:v>6240</c:v>
                </c:pt>
                <c:pt idx="15">
                  <c:v>6220</c:v>
                </c:pt>
                <c:pt idx="16">
                  <c:v>6010</c:v>
                </c:pt>
                <c:pt idx="17">
                  <c:v>5960</c:v>
                </c:pt>
                <c:pt idx="18">
                  <c:v>5700</c:v>
                </c:pt>
                <c:pt idx="19">
                  <c:v>5630</c:v>
                </c:pt>
                <c:pt idx="20">
                  <c:v>5330</c:v>
                </c:pt>
                <c:pt idx="21">
                  <c:v>5180</c:v>
                </c:pt>
                <c:pt idx="22">
                  <c:v>5070</c:v>
                </c:pt>
                <c:pt idx="23">
                  <c:v>4920</c:v>
                </c:pt>
                <c:pt idx="24">
                  <c:v>4860</c:v>
                </c:pt>
                <c:pt idx="25">
                  <c:v>4640</c:v>
                </c:pt>
                <c:pt idx="26">
                  <c:v>4240</c:v>
                </c:pt>
              </c:numCache>
            </c:numRef>
          </c:xVal>
          <c:yVal>
            <c:numRef>
              <c:f>calculos_3!$I$7:$I$33</c:f>
              <c:numCache>
                <c:formatCode>0.0000</c:formatCode>
                <c:ptCount val="27"/>
                <c:pt idx="0">
                  <c:v>31.540084849186087</c:v>
                </c:pt>
                <c:pt idx="1">
                  <c:v>32.199999457199283</c:v>
                </c:pt>
                <c:pt idx="2">
                  <c:v>32.601457066800549</c:v>
                </c:pt>
                <c:pt idx="3">
                  <c:v>32.884624070144412</c:v>
                </c:pt>
                <c:pt idx="4">
                  <c:v>33.043841703099076</c:v>
                </c:pt>
                <c:pt idx="5">
                  <c:v>33.562761469058557</c:v>
                </c:pt>
                <c:pt idx="6">
                  <c:v>34.198440550895384</c:v>
                </c:pt>
                <c:pt idx="7">
                  <c:v>34.36939071277601</c:v>
                </c:pt>
                <c:pt idx="8">
                  <c:v>34.438210787198273</c:v>
                </c:pt>
                <c:pt idx="9">
                  <c:v>35.069226189177186</c:v>
                </c:pt>
                <c:pt idx="10">
                  <c:v>35.140664109846796</c:v>
                </c:pt>
                <c:pt idx="11">
                  <c:v>34.786154542351142</c:v>
                </c:pt>
                <c:pt idx="12">
                  <c:v>35.538479598598485</c:v>
                </c:pt>
                <c:pt idx="13">
                  <c:v>35.685239396181885</c:v>
                </c:pt>
                <c:pt idx="14">
                  <c:v>36.590417539601617</c:v>
                </c:pt>
                <c:pt idx="15">
                  <c:v>36.6678233462614</c:v>
                </c:pt>
                <c:pt idx="16">
                  <c:v>37.499999426635725</c:v>
                </c:pt>
                <c:pt idx="17">
                  <c:v>37.70354716024309</c:v>
                </c:pt>
                <c:pt idx="18">
                  <c:v>38.797834777335254</c:v>
                </c:pt>
                <c:pt idx="19">
                  <c:v>39.103243687379063</c:v>
                </c:pt>
                <c:pt idx="20">
                  <c:v>40.468585237434809</c:v>
                </c:pt>
                <c:pt idx="21">
                  <c:v>41.188163203708257</c:v>
                </c:pt>
                <c:pt idx="22">
                  <c:v>41.732788536598093</c:v>
                </c:pt>
                <c:pt idx="23">
                  <c:v>42.499999400694151</c:v>
                </c:pt>
                <c:pt idx="24">
                  <c:v>42.815205714840317</c:v>
                </c:pt>
                <c:pt idx="25">
                  <c:v>44.014478483066398</c:v>
                </c:pt>
                <c:pt idx="26">
                  <c:v>46.391039390555875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D-4872-A5F5-8A95375D2F0B}"/>
            </c:ext>
          </c:extLst>
        </c:ser>
        <c:ser>
          <c:idx val="5"/>
          <c:order val="5"/>
          <c:tx>
            <c:v>Calibração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calculos_3!$A$7:$A$33</c:f>
              <c:numCache>
                <c:formatCode>0</c:formatCode>
                <c:ptCount val="27"/>
                <c:pt idx="0">
                  <c:v>7740</c:v>
                </c:pt>
                <c:pt idx="1">
                  <c:v>7520</c:v>
                </c:pt>
                <c:pt idx="2">
                  <c:v>7390</c:v>
                </c:pt>
                <c:pt idx="3">
                  <c:v>7300</c:v>
                </c:pt>
                <c:pt idx="4">
                  <c:v>7250</c:v>
                </c:pt>
                <c:pt idx="5">
                  <c:v>7090</c:v>
                </c:pt>
                <c:pt idx="6">
                  <c:v>6900</c:v>
                </c:pt>
                <c:pt idx="7">
                  <c:v>6850</c:v>
                </c:pt>
                <c:pt idx="8">
                  <c:v>6830</c:v>
                </c:pt>
                <c:pt idx="9">
                  <c:v>6650</c:v>
                </c:pt>
                <c:pt idx="10">
                  <c:v>6630</c:v>
                </c:pt>
                <c:pt idx="11">
                  <c:v>6730</c:v>
                </c:pt>
                <c:pt idx="12">
                  <c:v>6520</c:v>
                </c:pt>
                <c:pt idx="13">
                  <c:v>6480</c:v>
                </c:pt>
                <c:pt idx="14">
                  <c:v>6240</c:v>
                </c:pt>
                <c:pt idx="15">
                  <c:v>6220</c:v>
                </c:pt>
                <c:pt idx="16">
                  <c:v>6010</c:v>
                </c:pt>
                <c:pt idx="17">
                  <c:v>5960</c:v>
                </c:pt>
                <c:pt idx="18">
                  <c:v>5700</c:v>
                </c:pt>
                <c:pt idx="19">
                  <c:v>5630</c:v>
                </c:pt>
                <c:pt idx="20">
                  <c:v>5330</c:v>
                </c:pt>
                <c:pt idx="21">
                  <c:v>5180</c:v>
                </c:pt>
                <c:pt idx="22">
                  <c:v>5070</c:v>
                </c:pt>
                <c:pt idx="23">
                  <c:v>4920</c:v>
                </c:pt>
                <c:pt idx="24">
                  <c:v>4860</c:v>
                </c:pt>
                <c:pt idx="25">
                  <c:v>4640</c:v>
                </c:pt>
                <c:pt idx="26">
                  <c:v>4240</c:v>
                </c:pt>
              </c:numCache>
            </c:numRef>
          </c:xVal>
          <c:yVal>
            <c:numRef>
              <c:f>calculos_3!$K$7:$K$33</c:f>
              <c:numCache>
                <c:formatCode>0.0000</c:formatCode>
                <c:ptCount val="27"/>
                <c:pt idx="0">
                  <c:v>31.490475723548229</c:v>
                </c:pt>
                <c:pt idx="1">
                  <c:v>32.200003336204759</c:v>
                </c:pt>
                <c:pt idx="2">
                  <c:v>32.623631460048557</c:v>
                </c:pt>
                <c:pt idx="3">
                  <c:v>32.919134777868976</c:v>
                </c:pt>
                <c:pt idx="4">
                  <c:v>33.084166506728536</c:v>
                </c:pt>
                <c:pt idx="5">
                  <c:v>33.616862647665187</c:v>
                </c:pt>
                <c:pt idx="6">
                  <c:v>34.2598484335183</c:v>
                </c:pt>
                <c:pt idx="7">
                  <c:v>34.431193641054506</c:v>
                </c:pt>
                <c:pt idx="8">
                  <c:v>34.500002666184969</c:v>
                </c:pt>
                <c:pt idx="9">
                  <c:v>35.126831365586554</c:v>
                </c:pt>
                <c:pt idx="10">
                  <c:v>35.19737758872003</c:v>
                </c:pt>
                <c:pt idx="11">
                  <c:v>34.846499526385458</c:v>
                </c:pt>
                <c:pt idx="12">
                  <c:v>35.588917700599779</c:v>
                </c:pt>
                <c:pt idx="13">
                  <c:v>35.732859467069147</c:v>
                </c:pt>
                <c:pt idx="14">
                  <c:v>36.616261373163809</c:v>
                </c:pt>
                <c:pt idx="15">
                  <c:v>36.691551800305092</c:v>
                </c:pt>
                <c:pt idx="16">
                  <c:v>37.500001530720795</c:v>
                </c:pt>
                <c:pt idx="17">
                  <c:v>37.69772890421234</c:v>
                </c:pt>
                <c:pt idx="18">
                  <c:v>38.763856070651684</c:v>
                </c:pt>
                <c:pt idx="19">
                  <c:v>39.063065660660925</c:v>
                </c:pt>
                <c:pt idx="20">
                  <c:v>40.415974119218447</c:v>
                </c:pt>
                <c:pt idx="21">
                  <c:v>41.142583992441018</c:v>
                </c:pt>
                <c:pt idx="22">
                  <c:v>41.700503401889875</c:v>
                </c:pt>
                <c:pt idx="23">
                  <c:v>42.499999074992729</c:v>
                </c:pt>
                <c:pt idx="24">
                  <c:v>42.833572467802867</c:v>
                </c:pt>
                <c:pt idx="25">
                  <c:v>44.133592854631729</c:v>
                </c:pt>
                <c:pt idx="26">
                  <c:v>46.882768583238317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3D-4872-A5F5-8A95375D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54640"/>
        <c:axId val="413363824"/>
      </c:scatterChart>
      <c:valAx>
        <c:axId val="413354640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Resistência</a:t>
                </a:r>
                <a:r>
                  <a:rPr lang="pt-BR" baseline="0"/>
                  <a:t> (em Ohms)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63824"/>
        <c:crosses val="autoZero"/>
        <c:crossBetween val="midCat"/>
      </c:valAx>
      <c:valAx>
        <c:axId val="413363824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(em</a:t>
                </a:r>
                <a:r>
                  <a:rPr lang="pt-BR" baseline="0"/>
                  <a:t> ºC)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54640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16</xdr:col>
      <xdr:colOff>171451</xdr:colOff>
      <xdr:row>23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J34" totalsRowShown="0">
  <autoFilter ref="A1:J34"/>
  <sortState ref="A2:B34">
    <sortCondition ref="A1:A34"/>
  </sortState>
  <tableColumns count="10">
    <tableColumn id="1" name="Temperatura ºC"/>
    <tableColumn id="2" name="Resistência medida (ohm)"/>
    <tableColumn id="3" name="Rref"/>
    <tableColumn id="4" name="ln(R/Rref)" dataDxfId="62">
      <calculatedColumnFormula>LN(Tabela1[[#This Row],[Resistência medida (ohm)]]/Tabela1[[#This Row],[Rref]])</calculatedColumnFormula>
    </tableColumn>
    <tableColumn id="5" name="ln²(R/Rref)" dataDxfId="61">
      <calculatedColumnFormula>POWER(Tabela1[[#This Row],[ln(R/Rref)]],2)</calculatedColumnFormula>
    </tableColumn>
    <tableColumn id="9" name="ln³(R/Rref)" dataDxfId="57">
      <calculatedColumnFormula>POWER(Tabela1[[#This Row],[ln(R/Rref)]],3)</calculatedColumnFormula>
    </tableColumn>
    <tableColumn id="6" name="T" dataDxfId="60">
      <calculatedColumnFormula>Tabela1[[#This Row],[Temperatura ºC]]+273.15</calculatedColumnFormula>
    </tableColumn>
    <tableColumn id="7" name="T*ln(R/Rref)" dataDxfId="59">
      <calculatedColumnFormula>Tabela1[[#This Row],[T]]*Tabela1[[#This Row],[ln(R/Rref)]]</calculatedColumnFormula>
    </tableColumn>
    <tableColumn id="8" name="T*ln²(R/Rref)" dataDxfId="58">
      <calculatedColumnFormula>Tabela1[[#This Row],[T]]*Tabela1[[#This Row],[ln²(R/Rref)]]</calculatedColumnFormula>
    </tableColumn>
    <tableColumn id="10" name="T*ln³(R/Rref)" dataDxfId="56">
      <calculatedColumnFormula>Tabela1[[#This Row],[T]]*Tabela1[[#This Row],[ln³(R/Rref)]]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AB34" totalsRowShown="0" dataDxfId="53">
  <autoFilter ref="A1:AB34"/>
  <tableColumns count="28">
    <tableColumn id="1" name="Temperatura ºC" dataDxfId="55"/>
    <tableColumn id="2" name="Resistência medida (ohm)" dataDxfId="54"/>
    <tableColumn id="3" name="ln(R/Rref)" dataDxfId="48">
      <calculatedColumnFormula>LN(Tabela2[[#This Row],[Resistência medida (ohm)]]/10000)</calculatedColumnFormula>
    </tableColumn>
    <tableColumn id="4" name="ln²(R/Rref)" dataDxfId="47">
      <calculatedColumnFormula>POWER(Tabela2[[#This Row],[ln(R/Rref)]],2)</calculatedColumnFormula>
    </tableColumn>
    <tableColumn id="5" name="ln³(R/Rref)" dataDxfId="46">
      <calculatedColumnFormula>POWER(Tabela2[[#This Row],[ln(R/Rref)]],3)</calculatedColumnFormula>
    </tableColumn>
    <tableColumn id="6" name="A1-D" dataDxfId="52"/>
    <tableColumn id="7" name="B1-D" dataDxfId="51"/>
    <tableColumn id="8" name="C1-D" dataDxfId="50"/>
    <tableColumn id="9" name="D1_D" dataDxfId="49"/>
    <tableColumn id="10" name="T_D" dataDxfId="45">
      <calculatedColumnFormula>(1/(Tabela2[[#This Row],[A1-D]]+Tabela2[[#This Row],[B1-D]]*Tabela2[[#This Row],[ln(R/Rref)]]+Tabela2[[#This Row],[C1-D]]*Tabela2[[#This Row],[ln²(R/Rref)]]+Tabela2[[#This Row],[D1_D]]*Tabela2[[#This Row],[ln³(R/Rref)]]))-273.15</calculatedColumnFormula>
    </tableColumn>
    <tableColumn id="11" name="A1-C1" dataDxfId="44"/>
    <tableColumn id="12" name="B1-C1" dataDxfId="43"/>
    <tableColumn id="13" name="C1-C1" dataDxfId="42"/>
    <tableColumn id="14" name="T_C1" dataDxfId="41">
      <calculatedColumnFormula>(1/(Tabela2[[#This Row],[A1-C1]]+Tabela2[[#This Row],[B1-C1]]*Tabela2[[#This Row],[ln(R/Rref)]]+Tabela2[[#This Row],[C1-C1]]*Tabela2[[#This Row],[ln²(R/Rref)]]))-273.15</calculatedColumnFormula>
    </tableColumn>
    <tableColumn id="15" name="A1_C2" dataDxfId="40"/>
    <tableColumn id="16" name="B1_C2" dataDxfId="39"/>
    <tableColumn id="17" name="C1_C2" dataDxfId="38">
      <calculatedColumnFormula>-0.00000158436</calculatedColumnFormula>
    </tableColumn>
    <tableColumn id="18" name="D1_C2" dataDxfId="37">
      <calculatedColumnFormula>-0.000002094466</calculatedColumnFormula>
    </tableColumn>
    <tableColumn id="19" name="T_C2" dataDxfId="36">
      <calculatedColumnFormula>(1/(Tabela2[[#This Row],[A1_C2]]+Tabela2[[#This Row],[B1_C2]]*Tabela2[[#This Row],[ln(R/Rref)]]+Tabela2[[#This Row],[C1_C2]]*Tabela2[[#This Row],[ln²(R/Rref)]]+Tabela2[[#This Row],[D1_C2]]*Tabela2[[#This Row],[ln³(R/Rref)]]))-273.15</calculatedColumnFormula>
    </tableColumn>
    <tableColumn id="20" name="A1-C3" dataDxfId="35"/>
    <tableColumn id="21" name="B1-C3" dataDxfId="34"/>
    <tableColumn id="22" name="C1-C3" dataDxfId="33">
      <calculatedColumnFormula>-0.000013030307</calculatedColumnFormula>
    </tableColumn>
    <tableColumn id="23" name="T_C3" dataDxfId="32">
      <calculatedColumnFormula>(1/(Tabela2[[#This Row],[A1-C3]]+Tabela2[[#This Row],[B1-C3]]*Tabela2[[#This Row],[ln(R/Rref)]]+Tabela2[[#This Row],[C1-C3]]*Tabela2[[#This Row],[ln²(R/Rref)]]))-273.15</calculatedColumnFormula>
    </tableColumn>
    <tableColumn id="24" name="A1-C4" dataDxfId="31"/>
    <tableColumn id="25" name="B1-C4" dataDxfId="30"/>
    <tableColumn id="26" name="C1-C4" dataDxfId="29"/>
    <tableColumn id="27" name="D1-C4" dataDxfId="28"/>
    <tableColumn id="28" name="T_C4" dataDxfId="27">
      <calculatedColumnFormula>(1/(Tabela2[[#This Row],[A1-C4]]+Tabela2[[#This Row],[B1-C4]]*Tabela2[[#This Row],[ln(R/Rref)]]+Tabela2[[#This Row],[C1-C4]]*Tabela2[[#This Row],[ln²(R/Rref)]]+Tabela2[[#This Row],[D1-C4]]*Tabela2[[#This Row],[ln³(R/Rref)]]))-273.15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L35" totalsRowCount="1" headerRowDxfId="25" dataDxfId="15" totalsRowDxfId="26">
  <autoFilter ref="A1:L35"/>
  <tableColumns count="12">
    <tableColumn id="1" name="Resistência medida (ohm)" totalsRowLabel="Média Geral" dataDxfId="0" totalsRowDxfId="14"/>
    <tableColumn id="2" name="Temperatura ºC" dataDxfId="1" totalsRowDxfId="13"/>
    <tableColumn id="3" name="T_D (ºC)" dataDxfId="2" totalsRowDxfId="12"/>
    <tableColumn id="4" name="Erro_D" totalsRowFunction="custom" dataDxfId="24" totalsRowDxfId="11">
      <calculatedColumnFormula>ABS(B2-C2)</calculatedColumnFormula>
      <totalsRowFormula>AVERAGE(Tabela3[Erro_D])</totalsRowFormula>
    </tableColumn>
    <tableColumn id="5" name="T_C1 (ºC)" dataDxfId="23" totalsRowDxfId="10"/>
    <tableColumn id="6" name="Erro_C1" totalsRowFunction="custom" dataDxfId="22" totalsRowDxfId="9">
      <calculatedColumnFormula>ABS(B2-E2)</calculatedColumnFormula>
      <totalsRowFormula>AVERAGE(Tabela3[Erro_C1])</totalsRowFormula>
    </tableColumn>
    <tableColumn id="7" name="T_C2 (ºC)" dataDxfId="21" totalsRowDxfId="8"/>
    <tableColumn id="8" name="Erro_C2" totalsRowFunction="custom" dataDxfId="20" totalsRowDxfId="7">
      <calculatedColumnFormula>ABS(B2-G2)</calculatedColumnFormula>
      <totalsRowFormula>AVERAGE(Tabela3[Erro_C2])</totalsRowFormula>
    </tableColumn>
    <tableColumn id="9" name="T_C3 (ºC)" dataDxfId="19" totalsRowDxfId="6"/>
    <tableColumn id="10" name="Erro_C3" totalsRowFunction="custom" dataDxfId="18" totalsRowDxfId="5">
      <calculatedColumnFormula>ABS(B2-I2)</calculatedColumnFormula>
      <totalsRowFormula>AVERAGE(Tabela3[Erro_C3])</totalsRowFormula>
    </tableColumn>
    <tableColumn id="11" name="T_C4 (ºC)" dataDxfId="17" totalsRowDxfId="4"/>
    <tableColumn id="12" name="Erro_C4" totalsRowFunction="custom" dataDxfId="16" totalsRowDxfId="3">
      <calculatedColumnFormula>ABS(B2-K2)</calculatedColumnFormula>
      <totalsRowFormula>AVERAGE(Tabela3[Erro_C4])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G15" sqref="G15"/>
    </sheetView>
  </sheetViews>
  <sheetFormatPr defaultRowHeight="15" x14ac:dyDescent="0.25"/>
  <cols>
    <col min="1" max="1" width="17" customWidth="1"/>
    <col min="2" max="2" width="26.140625" customWidth="1"/>
    <col min="4" max="4" width="16.140625" customWidth="1"/>
    <col min="5" max="5" width="18.28515625" customWidth="1"/>
    <col min="6" max="6" width="14.5703125" customWidth="1"/>
    <col min="8" max="8" width="14.140625" bestFit="1" customWidth="1"/>
    <col min="9" max="10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 s="2">
        <v>0</v>
      </c>
      <c r="B2" s="2">
        <v>33000</v>
      </c>
      <c r="C2" s="2">
        <v>10000</v>
      </c>
      <c r="D2" s="2">
        <f>LN(Tabela1[[#This Row],[Resistência medida (ohm)]]/Tabela1[[#This Row],[Rref]])</f>
        <v>1.1939224684724346</v>
      </c>
      <c r="E2" s="2">
        <f>POWER(Tabela1[[#This Row],[ln(R/Rref)]],2)</f>
        <v>1.4254508607233114</v>
      </c>
      <c r="F2" s="2">
        <f>POWER(Tabela1[[#This Row],[ln(R/Rref)]],3)</f>
        <v>1.7018778103209324</v>
      </c>
      <c r="G2" s="2">
        <f>Tabela1[[#This Row],[Temperatura ºC]]+273.15</f>
        <v>273.14999999999998</v>
      </c>
      <c r="H2" s="2">
        <f>Tabela1[[#This Row],[T]]*Tabela1[[#This Row],[ln(R/Rref)]]</f>
        <v>326.11992226324548</v>
      </c>
      <c r="I2" s="2">
        <f>Tabela1[[#This Row],[T]]*Tabela1[[#This Row],[ln²(R/Rref)]]</f>
        <v>389.36190260657247</v>
      </c>
      <c r="J2" s="3">
        <f>Tabela1[[#This Row],[T]]*Tabela1[[#This Row],[ln³(R/Rref)]]</f>
        <v>464.86792388916268</v>
      </c>
    </row>
    <row r="3" spans="1:10" x14ac:dyDescent="0.25">
      <c r="A3">
        <v>17.5</v>
      </c>
      <c r="B3" s="1">
        <v>14760</v>
      </c>
      <c r="C3">
        <v>10000</v>
      </c>
      <c r="D3">
        <f>LN(Tabela1[[#This Row],[Resistência medida (ohm)]]/Tabela1[[#This Row],[Rref]])</f>
        <v>0.38933572617828072</v>
      </c>
      <c r="E3">
        <f>POWER(Tabela1[[#This Row],[ln(R/Rref)]],2)</f>
        <v>0.15158230767876918</v>
      </c>
      <c r="F3">
        <f>POWER(Tabela1[[#This Row],[ln(R/Rref)]],3)</f>
        <v>5.9016407835893174E-2</v>
      </c>
      <c r="G3">
        <f>Tabela1[[#This Row],[Temperatura ºC]]+273.15</f>
        <v>290.64999999999998</v>
      </c>
      <c r="H3" s="3">
        <f>Tabela1[[#This Row],[T]]*Tabela1[[#This Row],[ln(R/Rref)]]</f>
        <v>113.16042881371727</v>
      </c>
      <c r="I3" s="3">
        <f>Tabela1[[#This Row],[T]]*Tabela1[[#This Row],[ln²(R/Rref)]]</f>
        <v>44.05739772683426</v>
      </c>
      <c r="J3" s="3">
        <f>Tabela1[[#This Row],[T]]*Tabela1[[#This Row],[ln³(R/Rref)]]</f>
        <v>17.153118937502349</v>
      </c>
    </row>
    <row r="4" spans="1:10" x14ac:dyDescent="0.25">
      <c r="A4">
        <v>25</v>
      </c>
      <c r="B4" s="1">
        <v>10050</v>
      </c>
      <c r="C4">
        <v>10000</v>
      </c>
      <c r="D4">
        <f>LN(Tabela1[[#This Row],[Resistência medida (ohm)]]/Tabela1[[#This Row],[Rref]])</f>
        <v>4.9875415110389679E-3</v>
      </c>
      <c r="E4">
        <f>POWER(Tabela1[[#This Row],[ln(R/Rref)]],2)</f>
        <v>2.4875570324336872E-5</v>
      </c>
      <c r="F4">
        <f>POWER(Tabela1[[#This Row],[ln(R/Rref)]],3)</f>
        <v>1.2406793960339923E-7</v>
      </c>
      <c r="G4">
        <f>Tabela1[[#This Row],[Temperatura ºC]]+273.15</f>
        <v>298.14999999999998</v>
      </c>
      <c r="H4" s="3">
        <f>Tabela1[[#This Row],[T]]*Tabela1[[#This Row],[ln(R/Rref)]]</f>
        <v>1.4870355015162682</v>
      </c>
      <c r="I4" s="3">
        <f>Tabela1[[#This Row],[T]]*Tabela1[[#This Row],[ln²(R/Rref)]]</f>
        <v>7.4166512922010375E-3</v>
      </c>
      <c r="J4" s="3">
        <f>Tabela1[[#This Row],[T]]*Tabela1[[#This Row],[ln³(R/Rref)]]</f>
        <v>3.6990856192753479E-5</v>
      </c>
    </row>
    <row r="5" spans="1:10" x14ac:dyDescent="0.25">
      <c r="A5">
        <v>27</v>
      </c>
      <c r="B5" s="1">
        <v>9020</v>
      </c>
      <c r="C5">
        <v>10000</v>
      </c>
      <c r="D5">
        <f>LN(Tabela1[[#This Row],[Resistência medida (ohm)]]/Tabela1[[#This Row],[Rref]])</f>
        <v>-0.10314075891951337</v>
      </c>
      <c r="E5">
        <f>POWER(Tabela1[[#This Row],[ln(R/Rref)]],2)</f>
        <v>1.0638016150493177E-2</v>
      </c>
      <c r="F5">
        <f>POWER(Tabela1[[#This Row],[ln(R/Rref)]],3)</f>
        <v>-1.0972130591599065E-3</v>
      </c>
      <c r="G5">
        <f>Tabela1[[#This Row],[Temperatura ºC]]+273.15</f>
        <v>300.14999999999998</v>
      </c>
      <c r="H5" s="3">
        <f>Tabela1[[#This Row],[T]]*Tabela1[[#This Row],[ln(R/Rref)]]</f>
        <v>-30.957698789691936</v>
      </c>
      <c r="I5" s="3">
        <f>Tabela1[[#This Row],[T]]*Tabela1[[#This Row],[ln²(R/Rref)]]</f>
        <v>3.1930005475705268</v>
      </c>
      <c r="J5" s="3">
        <f>Tabela1[[#This Row],[T]]*Tabela1[[#This Row],[ln³(R/Rref)]]</f>
        <v>-0.32932849970684591</v>
      </c>
    </row>
    <row r="6" spans="1:10" x14ac:dyDescent="0.25">
      <c r="A6">
        <v>29</v>
      </c>
      <c r="B6" s="1">
        <v>8250</v>
      </c>
      <c r="C6">
        <v>10000</v>
      </c>
      <c r="D6">
        <f>LN(Tabela1[[#This Row],[Resistência medida (ohm)]]/Tabela1[[#This Row],[Rref]])</f>
        <v>-0.19237189264745613</v>
      </c>
      <c r="E6">
        <f>POWER(Tabela1[[#This Row],[ln(R/Rref)]],2)</f>
        <v>3.7006945080764388E-2</v>
      </c>
      <c r="F6">
        <f>POWER(Tabela1[[#This Row],[ln(R/Rref)]],3)</f>
        <v>-7.1190960662871113E-3</v>
      </c>
      <c r="G6">
        <f>Tabela1[[#This Row],[Temperatura ºC]]+273.15</f>
        <v>302.14999999999998</v>
      </c>
      <c r="H6" s="3">
        <f>Tabela1[[#This Row],[T]]*Tabela1[[#This Row],[ln(R/Rref)]]</f>
        <v>-58.125167363428865</v>
      </c>
      <c r="I6" s="3">
        <f>Tabela1[[#This Row],[T]]*Tabela1[[#This Row],[ln²(R/Rref)]]</f>
        <v>11.181648456152958</v>
      </c>
      <c r="J6" s="3">
        <f>Tabela1[[#This Row],[T]]*Tabela1[[#This Row],[ln³(R/Rref)]]</f>
        <v>-2.1510348764286507</v>
      </c>
    </row>
    <row r="7" spans="1:10" x14ac:dyDescent="0.25">
      <c r="A7">
        <v>31</v>
      </c>
      <c r="B7" s="1">
        <v>7740</v>
      </c>
      <c r="C7">
        <v>10000</v>
      </c>
      <c r="D7">
        <f>LN(Tabela1[[#This Row],[Resistência medida (ohm)]]/Tabela1[[#This Row],[Rref]])</f>
        <v>-0.25618340539240991</v>
      </c>
      <c r="E7">
        <f>POWER(Tabela1[[#This Row],[ln(R/Rref)]],2)</f>
        <v>6.5629937198451838E-2</v>
      </c>
      <c r="F7">
        <f>POWER(Tabela1[[#This Row],[ln(R/Rref)]],3)</f>
        <v>-1.6813300807189391E-2</v>
      </c>
      <c r="G7">
        <f>Tabela1[[#This Row],[Temperatura ºC]]+273.15</f>
        <v>304.14999999999998</v>
      </c>
      <c r="H7" s="3">
        <f>Tabela1[[#This Row],[T]]*Tabela1[[#This Row],[ln(R/Rref)]]</f>
        <v>-77.918182750101465</v>
      </c>
      <c r="I7" s="3">
        <f>Tabela1[[#This Row],[T]]*Tabela1[[#This Row],[ln²(R/Rref)]]</f>
        <v>19.961345398909124</v>
      </c>
      <c r="J7" s="3">
        <f>Tabela1[[#This Row],[T]]*Tabela1[[#This Row],[ln³(R/Rref)]]</f>
        <v>-5.1137654405066533</v>
      </c>
    </row>
    <row r="8" spans="1:10" x14ac:dyDescent="0.25">
      <c r="A8" s="2">
        <v>32.200000000000003</v>
      </c>
      <c r="B8" s="2">
        <v>7520</v>
      </c>
      <c r="C8" s="2">
        <v>10000</v>
      </c>
      <c r="D8" s="2">
        <f>LN(Tabela1[[#This Row],[Resistência medida (ohm)]]/Tabela1[[#This Row],[Rref]])</f>
        <v>-0.28501895503229724</v>
      </c>
      <c r="E8" s="2">
        <f>POWER(Tabela1[[#This Row],[ln(R/Rref)]],2)</f>
        <v>8.1235804727702671E-2</v>
      </c>
      <c r="F8" s="2">
        <f>POWER(Tabela1[[#This Row],[ln(R/Rref)]],3)</f>
        <v>-2.3153744174697566E-2</v>
      </c>
      <c r="G8" s="2">
        <f>Tabela1[[#This Row],[Temperatura ºC]]+273.15</f>
        <v>305.34999999999997</v>
      </c>
      <c r="H8" s="2">
        <f>Tabela1[[#This Row],[T]]*Tabela1[[#This Row],[ln(R/Rref)]]</f>
        <v>-87.03053791911195</v>
      </c>
      <c r="I8" s="2">
        <f>Tabela1[[#This Row],[T]]*Tabela1[[#This Row],[ln²(R/Rref)]]</f>
        <v>24.805352973604009</v>
      </c>
      <c r="J8" s="4">
        <f>Tabela1[[#This Row],[T]]*Tabela1[[#This Row],[ln³(R/Rref)]]</f>
        <v>-7.0699957837439014</v>
      </c>
    </row>
    <row r="9" spans="1:10" x14ac:dyDescent="0.25">
      <c r="A9" s="2">
        <v>32.6</v>
      </c>
      <c r="B9" s="2">
        <v>7390</v>
      </c>
      <c r="C9" s="2">
        <v>10000</v>
      </c>
      <c r="D9" s="2">
        <f>LN(Tabela1[[#This Row],[Resistência medida (ohm)]]/Tabela1[[#This Row],[Rref]])</f>
        <v>-0.30245735803393531</v>
      </c>
      <c r="E9" s="2">
        <f>POWER(Tabela1[[#This Row],[ln(R/Rref)]],2)</f>
        <v>9.1480453428868125E-2</v>
      </c>
      <c r="F9" s="2">
        <f>POWER(Tabela1[[#This Row],[ln(R/Rref)]],3)</f>
        <v>-2.7668936255841912E-2</v>
      </c>
      <c r="G9" s="2">
        <f>Tabela1[[#This Row],[Temperatura ºC]]+273.15</f>
        <v>305.75</v>
      </c>
      <c r="H9" s="4">
        <f>Tabela1[[#This Row],[T]]*Tabela1[[#This Row],[ln(R/Rref)]]</f>
        <v>-92.476337218875727</v>
      </c>
      <c r="I9" s="4">
        <f>Tabela1[[#This Row],[T]]*Tabela1[[#This Row],[ln²(R/Rref)]]</f>
        <v>27.970148635876431</v>
      </c>
      <c r="J9" s="4">
        <f>Tabela1[[#This Row],[T]]*Tabela1[[#This Row],[ln³(R/Rref)]]</f>
        <v>-8.4597772602236638</v>
      </c>
    </row>
    <row r="10" spans="1:10" x14ac:dyDescent="0.25">
      <c r="A10" s="2">
        <v>32.799999999999997</v>
      </c>
      <c r="B10" s="2">
        <v>7300</v>
      </c>
      <c r="C10" s="2">
        <v>10000</v>
      </c>
      <c r="D10" s="2">
        <f>LN(Tabela1[[#This Row],[Resistência medida (ohm)]]/Tabela1[[#This Row],[Rref]])</f>
        <v>-0.31471074483970024</v>
      </c>
      <c r="E10" s="2">
        <f>POWER(Tabela1[[#This Row],[ln(R/Rref)]],2)</f>
        <v>9.9042852917558918E-2</v>
      </c>
      <c r="F10" s="2">
        <f>POWER(Tabela1[[#This Row],[ln(R/Rref)]],3)</f>
        <v>-3.1169850012733844E-2</v>
      </c>
      <c r="G10" s="2">
        <f>Tabela1[[#This Row],[Temperatura ºC]]+273.15</f>
        <v>305.95</v>
      </c>
      <c r="H10" s="4">
        <f>Tabela1[[#This Row],[T]]*Tabela1[[#This Row],[ln(R/Rref)]]</f>
        <v>-96.285752383706281</v>
      </c>
      <c r="I10" s="4">
        <f>Tabela1[[#This Row],[T]]*Tabela1[[#This Row],[ln²(R/Rref)]]</f>
        <v>30.302160850127152</v>
      </c>
      <c r="J10" s="4">
        <f>Tabela1[[#This Row],[T]]*Tabela1[[#This Row],[ln³(R/Rref)]]</f>
        <v>-9.5364156113959186</v>
      </c>
    </row>
    <row r="11" spans="1:10" x14ac:dyDescent="0.25">
      <c r="A11" s="2">
        <v>33.1</v>
      </c>
      <c r="B11" s="2">
        <v>7250</v>
      </c>
      <c r="C11" s="2">
        <v>10000</v>
      </c>
      <c r="D11" s="2">
        <f>LN(Tabela1[[#This Row],[Resistência medida (ohm)]]/Tabela1[[#This Row],[Rref]])</f>
        <v>-0.32158362412746233</v>
      </c>
      <c r="E11" s="2">
        <f>POWER(Tabela1[[#This Row],[ln(R/Rref)]],2)</f>
        <v>0.10341602730695297</v>
      </c>
      <c r="F11" s="2">
        <f>POWER(Tabela1[[#This Row],[ln(R/Rref)]],3)</f>
        <v>-3.3256900854234543E-2</v>
      </c>
      <c r="G11" s="2">
        <f>Tabela1[[#This Row],[Temperatura ºC]]+273.15</f>
        <v>306.25</v>
      </c>
      <c r="H11" s="4">
        <f>Tabela1[[#This Row],[T]]*Tabela1[[#This Row],[ln(R/Rref)]]</f>
        <v>-98.484984889035346</v>
      </c>
      <c r="I11" s="4">
        <f>Tabela1[[#This Row],[T]]*Tabela1[[#This Row],[ln²(R/Rref)]]</f>
        <v>31.671158362754348</v>
      </c>
      <c r="J11" s="4">
        <f>Tabela1[[#This Row],[T]]*Tabela1[[#This Row],[ln³(R/Rref)]]</f>
        <v>-10.184925886609328</v>
      </c>
    </row>
    <row r="12" spans="1:10" x14ac:dyDescent="0.25">
      <c r="A12" s="2">
        <v>33.799999999999997</v>
      </c>
      <c r="B12" s="2">
        <v>7090</v>
      </c>
      <c r="C12" s="2">
        <v>10000</v>
      </c>
      <c r="D12" s="2">
        <f>LN(Tabela1[[#This Row],[Resistência medida (ohm)]]/Tabela1[[#This Row],[Rref]])</f>
        <v>-0.34389975245000959</v>
      </c>
      <c r="E12" s="2">
        <f>POWER(Tabela1[[#This Row],[ln(R/Rref)]],2)</f>
        <v>0.11826703973517788</v>
      </c>
      <c r="F12" s="2">
        <f>POWER(Tabela1[[#This Row],[ln(R/Rref)]],3)</f>
        <v>-4.0672005687923118E-2</v>
      </c>
      <c r="G12" s="2">
        <f>Tabela1[[#This Row],[Temperatura ºC]]+273.15</f>
        <v>306.95</v>
      </c>
      <c r="H12" s="4">
        <f>Tabela1[[#This Row],[T]]*Tabela1[[#This Row],[ln(R/Rref)]]</f>
        <v>-105.56002901453044</v>
      </c>
      <c r="I12" s="4">
        <f>Tabela1[[#This Row],[T]]*Tabela1[[#This Row],[ln²(R/Rref)]]</f>
        <v>36.302067846712852</v>
      </c>
      <c r="J12" s="4">
        <f>Tabela1[[#This Row],[T]]*Tabela1[[#This Row],[ln³(R/Rref)]]</f>
        <v>-12.484272145908001</v>
      </c>
    </row>
    <row r="13" spans="1:10" x14ac:dyDescent="0.25">
      <c r="A13" s="2">
        <v>33.9</v>
      </c>
      <c r="B13" s="2">
        <v>6900</v>
      </c>
      <c r="C13" s="2">
        <v>10000</v>
      </c>
      <c r="D13" s="2">
        <f>LN(Tabela1[[#This Row],[Resistência medida (ohm)]]/Tabela1[[#This Row],[Rref]])</f>
        <v>-0.37106368139083207</v>
      </c>
      <c r="E13" s="2">
        <f>POWER(Tabela1[[#This Row],[ln(R/Rref)]],2)</f>
        <v>0.13768825564731693</v>
      </c>
      <c r="F13" s="2">
        <f>POWER(Tabela1[[#This Row],[ln(R/Rref)]],3)</f>
        <v>-5.1091111024775447E-2</v>
      </c>
      <c r="G13" s="2">
        <f>Tabela1[[#This Row],[Temperatura ºC]]+273.15</f>
        <v>307.04999999999995</v>
      </c>
      <c r="H13" s="4">
        <f>Tabela1[[#This Row],[T]]*Tabela1[[#This Row],[ln(R/Rref)]]</f>
        <v>-113.93510337105496</v>
      </c>
      <c r="I13" s="4">
        <f>Tabela1[[#This Row],[T]]*Tabela1[[#This Row],[ln²(R/Rref)]]</f>
        <v>42.277178896508659</v>
      </c>
      <c r="J13" s="4">
        <f>Tabela1[[#This Row],[T]]*Tabela1[[#This Row],[ln³(R/Rref)]]</f>
        <v>-15.687525640157299</v>
      </c>
    </row>
    <row r="14" spans="1:10" x14ac:dyDescent="0.25">
      <c r="A14" s="2">
        <v>34.4</v>
      </c>
      <c r="B14" s="2">
        <v>6850</v>
      </c>
      <c r="C14" s="2">
        <v>10000</v>
      </c>
      <c r="D14" s="2">
        <f>LN(Tabela1[[#This Row],[Resistência medida (ohm)]]/Tabela1[[#This Row],[Rref]])</f>
        <v>-0.37833644071991168</v>
      </c>
      <c r="E14" s="2">
        <f>POWER(Tabela1[[#This Row],[ln(R/Rref)]],2)</f>
        <v>0.14313846237661124</v>
      </c>
      <c r="F14" s="2">
        <f>POWER(Tabela1[[#This Row],[ln(R/Rref)]],3)</f>
        <v>-5.4154496385688089E-2</v>
      </c>
      <c r="G14" s="2">
        <f>Tabela1[[#This Row],[Temperatura ºC]]+273.15</f>
        <v>307.54999999999995</v>
      </c>
      <c r="H14" s="4">
        <f>Tabela1[[#This Row],[T]]*Tabela1[[#This Row],[ln(R/Rref)]]</f>
        <v>-116.35737234340883</v>
      </c>
      <c r="I14" s="4">
        <f>Tabela1[[#This Row],[T]]*Tabela1[[#This Row],[ln²(R/Rref)]]</f>
        <v>44.022234103926777</v>
      </c>
      <c r="J14" s="4">
        <f>Tabela1[[#This Row],[T]]*Tabela1[[#This Row],[ln³(R/Rref)]]</f>
        <v>-16.655215363418371</v>
      </c>
    </row>
    <row r="15" spans="1:10" x14ac:dyDescent="0.25">
      <c r="A15" s="2">
        <v>34.5</v>
      </c>
      <c r="B15" s="2">
        <v>6830</v>
      </c>
      <c r="C15" s="2">
        <v>10000</v>
      </c>
      <c r="D15" s="2">
        <f>LN(Tabela1[[#This Row],[Resistência medida (ohm)]]/Tabela1[[#This Row],[Rref]])</f>
        <v>-0.38126041941134692</v>
      </c>
      <c r="E15" s="2">
        <f>POWER(Tabela1[[#This Row],[ln(R/Rref)]],2)</f>
        <v>0.14535950740971615</v>
      </c>
      <c r="F15" s="2">
        <f>POWER(Tabela1[[#This Row],[ln(R/Rref)]],3)</f>
        <v>-5.5419826760455169E-2</v>
      </c>
      <c r="G15" s="2">
        <f>Tabela1[[#This Row],[Temperatura ºC]]+273.15</f>
        <v>307.64999999999998</v>
      </c>
      <c r="H15" s="4">
        <f>Tabela1[[#This Row],[T]]*Tabela1[[#This Row],[ln(R/Rref)]]</f>
        <v>-117.29476803190087</v>
      </c>
      <c r="I15" s="4">
        <f>Tabela1[[#This Row],[T]]*Tabela1[[#This Row],[ln²(R/Rref)]]</f>
        <v>44.71985245459917</v>
      </c>
      <c r="J15" s="4">
        <f>Tabela1[[#This Row],[T]]*Tabela1[[#This Row],[ln³(R/Rref)]]</f>
        <v>-17.049909702854031</v>
      </c>
    </row>
    <row r="16" spans="1:10" x14ac:dyDescent="0.25">
      <c r="A16" s="2">
        <v>35</v>
      </c>
      <c r="B16" s="2">
        <v>6650</v>
      </c>
      <c r="C16" s="2">
        <v>10000</v>
      </c>
      <c r="D16" s="2">
        <f>LN(Tabela1[[#This Row],[Resistência medida (ohm)]]/Tabela1[[#This Row],[Rref]])</f>
        <v>-0.40796823832628287</v>
      </c>
      <c r="E16" s="2">
        <f>POWER(Tabela1[[#This Row],[ln(R/Rref)]],2)</f>
        <v>0.16643808348305075</v>
      </c>
      <c r="F16" s="2">
        <f>POWER(Tabela1[[#This Row],[ln(R/Rref)]],3)</f>
        <v>-6.7901451708983013E-2</v>
      </c>
      <c r="G16" s="2">
        <f>Tabela1[[#This Row],[Temperatura ºC]]+273.15</f>
        <v>308.14999999999998</v>
      </c>
      <c r="H16" s="4">
        <f>Tabela1[[#This Row],[T]]*Tabela1[[#This Row],[ln(R/Rref)]]</f>
        <v>-125.71541264024405</v>
      </c>
      <c r="I16" s="4">
        <f>Tabela1[[#This Row],[T]]*Tabela1[[#This Row],[ln²(R/Rref)]]</f>
        <v>51.287895425302082</v>
      </c>
      <c r="J16" s="4">
        <f>Tabela1[[#This Row],[T]]*Tabela1[[#This Row],[ln³(R/Rref)]]</f>
        <v>-20.923832344123113</v>
      </c>
    </row>
    <row r="17" spans="1:10" x14ac:dyDescent="0.25">
      <c r="A17" s="2">
        <v>35.299999999999997</v>
      </c>
      <c r="B17" s="2">
        <v>6630</v>
      </c>
      <c r="C17" s="2">
        <v>10000</v>
      </c>
      <c r="D17" s="2">
        <f>LN(Tabela1[[#This Row],[Resistência medida (ohm)]]/Tabela1[[#This Row],[Rref]])</f>
        <v>-0.41098028879627452</v>
      </c>
      <c r="E17" s="2">
        <f>POWER(Tabela1[[#This Row],[ln(R/Rref)]],2)</f>
        <v>0.16890479777906919</v>
      </c>
      <c r="F17" s="2">
        <f>POWER(Tabela1[[#This Row],[ln(R/Rref)]],3)</f>
        <v>-6.9416542570318207E-2</v>
      </c>
      <c r="G17" s="2">
        <f>Tabela1[[#This Row],[Temperatura ºC]]+273.15</f>
        <v>308.45</v>
      </c>
      <c r="H17" s="4">
        <f>Tabela1[[#This Row],[T]]*Tabela1[[#This Row],[ln(R/Rref)]]</f>
        <v>-126.76687007921088</v>
      </c>
      <c r="I17" s="4">
        <f>Tabela1[[#This Row],[T]]*Tabela1[[#This Row],[ln²(R/Rref)]]</f>
        <v>52.098684874953889</v>
      </c>
      <c r="J17" s="4">
        <f>Tabela1[[#This Row],[T]]*Tabela1[[#This Row],[ln³(R/Rref)]]</f>
        <v>-21.411532555814649</v>
      </c>
    </row>
    <row r="18" spans="1:10" x14ac:dyDescent="0.25">
      <c r="A18" s="2">
        <v>35.4</v>
      </c>
      <c r="B18" s="2">
        <v>6730</v>
      </c>
      <c r="C18" s="2">
        <v>10000</v>
      </c>
      <c r="D18" s="2">
        <f>LN(Tabela1[[#This Row],[Resistência medida (ohm)]]/Tabela1[[#This Row],[Rref]])</f>
        <v>-0.39600994933740918</v>
      </c>
      <c r="E18" s="2">
        <f>POWER(Tabela1[[#This Row],[ln(R/Rref)]],2)</f>
        <v>0.1568238799742174</v>
      </c>
      <c r="F18" s="2">
        <f>POWER(Tabela1[[#This Row],[ln(R/Rref)]],3)</f>
        <v>-6.2103816763485774E-2</v>
      </c>
      <c r="G18" s="2">
        <f>Tabela1[[#This Row],[Temperatura ºC]]+273.15</f>
        <v>308.54999999999995</v>
      </c>
      <c r="H18" s="2">
        <f>Tabela1[[#This Row],[T]]*Tabela1[[#This Row],[ln(R/Rref)]]</f>
        <v>-122.18886986805758</v>
      </c>
      <c r="I18" s="2">
        <f>Tabela1[[#This Row],[T]]*Tabela1[[#This Row],[ln²(R/Rref)]]</f>
        <v>48.38800816604477</v>
      </c>
      <c r="J18" s="4">
        <f>Tabela1[[#This Row],[T]]*Tabela1[[#This Row],[ln³(R/Rref)]]</f>
        <v>-19.162132662373534</v>
      </c>
    </row>
    <row r="19" spans="1:10" x14ac:dyDescent="0.25">
      <c r="A19" s="2">
        <v>35.5</v>
      </c>
      <c r="B19" s="2">
        <v>6520</v>
      </c>
      <c r="C19" s="2">
        <v>10000</v>
      </c>
      <c r="D19" s="2">
        <f>LN(Tabela1[[#This Row],[Resistência medida (ohm)]]/Tabela1[[#This Row],[Rref]])</f>
        <v>-0.42771071705548408</v>
      </c>
      <c r="E19" s="2">
        <f>POWER(Tabela1[[#This Row],[ln(R/Rref)]],2)</f>
        <v>0.18293645748411635</v>
      </c>
      <c r="F19" s="2">
        <f>POWER(Tabela1[[#This Row],[ln(R/Rref)]],3)</f>
        <v>-7.8243883406121484E-2</v>
      </c>
      <c r="G19" s="2">
        <f>Tabela1[[#This Row],[Temperatura ºC]]+273.15</f>
        <v>308.64999999999998</v>
      </c>
      <c r="H19" s="4">
        <f>Tabela1[[#This Row],[T]]*Tabela1[[#This Row],[ln(R/Rref)]]</f>
        <v>-132.01291281917514</v>
      </c>
      <c r="I19" s="4">
        <f>Tabela1[[#This Row],[T]]*Tabela1[[#This Row],[ln²(R/Rref)]]</f>
        <v>56.463337602472507</v>
      </c>
      <c r="J19" s="4">
        <f>Tabela1[[#This Row],[T]]*Tabela1[[#This Row],[ln³(R/Rref)]]</f>
        <v>-24.149974613299396</v>
      </c>
    </row>
    <row r="20" spans="1:10" x14ac:dyDescent="0.25">
      <c r="A20" s="2">
        <v>36.200000000000003</v>
      </c>
      <c r="B20" s="2">
        <v>6480</v>
      </c>
      <c r="C20" s="2">
        <v>10000</v>
      </c>
      <c r="D20" s="2">
        <f>LN(Tabela1[[#This Row],[Resistência medida (ohm)]]/Tabela1[[#This Row],[Rref]])</f>
        <v>-0.43386458262986233</v>
      </c>
      <c r="E20" s="2">
        <f>POWER(Tabela1[[#This Row],[ln(R/Rref)]],2)</f>
        <v>0.18823847606058464</v>
      </c>
      <c r="F20" s="2">
        <f>POWER(Tabela1[[#This Row],[ln(R/Rref)]],3)</f>
        <v>-8.1670007850906889E-2</v>
      </c>
      <c r="G20" s="2">
        <f>Tabela1[[#This Row],[Temperatura ºC]]+273.15</f>
        <v>309.34999999999997</v>
      </c>
      <c r="H20" s="4">
        <f>Tabela1[[#This Row],[T]]*Tabela1[[#This Row],[ln(R/Rref)]]</f>
        <v>-134.21600863654788</v>
      </c>
      <c r="I20" s="4">
        <f>Tabela1[[#This Row],[T]]*Tabela1[[#This Row],[ln²(R/Rref)]]</f>
        <v>58.23157256934185</v>
      </c>
      <c r="J20" s="4">
        <f>Tabela1[[#This Row],[T]]*Tabela1[[#This Row],[ln³(R/Rref)]]</f>
        <v>-25.264616928678045</v>
      </c>
    </row>
    <row r="21" spans="1:10" x14ac:dyDescent="0.25">
      <c r="A21" s="2">
        <v>36.6</v>
      </c>
      <c r="B21" s="2">
        <v>6240</v>
      </c>
      <c r="C21" s="2">
        <v>10000</v>
      </c>
      <c r="D21" s="2">
        <f>LN(Tabela1[[#This Row],[Resistência medida (ohm)]]/Tabela1[[#This Row],[Rref]])</f>
        <v>-0.47160491061270937</v>
      </c>
      <c r="E21" s="2">
        <f>POWER(Tabela1[[#This Row],[ln(R/Rref)]],2)</f>
        <v>0.2224111917140216</v>
      </c>
      <c r="F21" s="2">
        <f>POWER(Tabela1[[#This Row],[ln(R/Rref)]],3)</f>
        <v>-0.10489021018755733</v>
      </c>
      <c r="G21" s="2">
        <f>Tabela1[[#This Row],[Temperatura ºC]]+273.15</f>
        <v>309.75</v>
      </c>
      <c r="H21" s="4">
        <f>Tabela1[[#This Row],[T]]*Tabela1[[#This Row],[ln(R/Rref)]]</f>
        <v>-146.07962106228672</v>
      </c>
      <c r="I21" s="4">
        <f>Tabela1[[#This Row],[T]]*Tabela1[[#This Row],[ln²(R/Rref)]]</f>
        <v>68.891866633418189</v>
      </c>
      <c r="J21" s="4">
        <f>Tabela1[[#This Row],[T]]*Tabela1[[#This Row],[ln³(R/Rref)]]</f>
        <v>-32.489742605595886</v>
      </c>
    </row>
    <row r="22" spans="1:10" x14ac:dyDescent="0.25">
      <c r="A22" s="2">
        <v>36.9</v>
      </c>
      <c r="B22" s="2">
        <v>6220</v>
      </c>
      <c r="C22" s="2">
        <v>10000</v>
      </c>
      <c r="D22" s="2">
        <f>LN(Tabela1[[#This Row],[Resistência medida (ohm)]]/Tabela1[[#This Row],[Rref]])</f>
        <v>-0.4748151862429576</v>
      </c>
      <c r="E22" s="2">
        <f>POWER(Tabela1[[#This Row],[ln(R/Rref)]],2)</f>
        <v>0.22544946108693451</v>
      </c>
      <c r="F22" s="2">
        <f>POWER(Tabela1[[#This Row],[ln(R/Rref)]],3)</f>
        <v>-0.10704682785436723</v>
      </c>
      <c r="G22" s="2">
        <f>Tabela1[[#This Row],[Temperatura ºC]]+273.15</f>
        <v>310.04999999999995</v>
      </c>
      <c r="H22" s="4">
        <f>Tabela1[[#This Row],[T]]*Tabela1[[#This Row],[ln(R/Rref)]]</f>
        <v>-147.21644849462899</v>
      </c>
      <c r="I22" s="4">
        <f>Tabela1[[#This Row],[T]]*Tabela1[[#This Row],[ln²(R/Rref)]]</f>
        <v>69.900605410004033</v>
      </c>
      <c r="J22" s="4">
        <f>Tabela1[[#This Row],[T]]*Tabela1[[#This Row],[ln³(R/Rref)]]</f>
        <v>-33.189868976246551</v>
      </c>
    </row>
    <row r="23" spans="1:10" x14ac:dyDescent="0.25">
      <c r="A23" s="2">
        <v>37.5</v>
      </c>
      <c r="B23" s="2">
        <v>6010</v>
      </c>
      <c r="C23" s="2">
        <v>10000</v>
      </c>
      <c r="D23" s="2">
        <f>LN(Tabela1[[#This Row],[Resistência medida (ohm)]]/Tabela1[[#This Row],[Rref]])</f>
        <v>-0.50916034444692948</v>
      </c>
      <c r="E23" s="2">
        <f>POWER(Tabela1[[#This Row],[ln(R/Rref)]],2)</f>
        <v>0.25924425635731585</v>
      </c>
      <c r="F23" s="2">
        <f>POWER(Tabela1[[#This Row],[ln(R/Rref)]],3)</f>
        <v>-0.13199689486277902</v>
      </c>
      <c r="G23" s="2">
        <f>Tabela1[[#This Row],[Temperatura ºC]]+273.15</f>
        <v>310.64999999999998</v>
      </c>
      <c r="H23" s="2">
        <f>Tabela1[[#This Row],[T]]*Tabela1[[#This Row],[ln(R/Rref)]]</f>
        <v>-158.17066100243864</v>
      </c>
      <c r="I23" s="2">
        <f>Tabela1[[#This Row],[T]]*Tabela1[[#This Row],[ln²(R/Rref)]]</f>
        <v>80.534228237400157</v>
      </c>
      <c r="J23" s="4">
        <f>Tabela1[[#This Row],[T]]*Tabela1[[#This Row],[ln³(R/Rref)]]</f>
        <v>-41.004835389122299</v>
      </c>
    </row>
    <row r="24" spans="1:10" x14ac:dyDescent="0.25">
      <c r="A24" s="2">
        <v>37.799999999999997</v>
      </c>
      <c r="B24" s="2">
        <v>5960</v>
      </c>
      <c r="C24" s="2">
        <v>10000</v>
      </c>
      <c r="D24" s="2">
        <f>LN(Tabela1[[#This Row],[Resistência medida (ohm)]]/Tabela1[[#This Row],[Rref]])</f>
        <v>-0.51751461191678738</v>
      </c>
      <c r="E24" s="2">
        <f>POWER(Tabela1[[#This Row],[ln(R/Rref)]],2)</f>
        <v>0.26782137354738306</v>
      </c>
      <c r="F24" s="2">
        <f>POWER(Tabela1[[#This Row],[ln(R/Rref)]],3)</f>
        <v>-0.13860147419439489</v>
      </c>
      <c r="G24" s="2">
        <f>Tabela1[[#This Row],[Temperatura ºC]]+273.15</f>
        <v>310.95</v>
      </c>
      <c r="H24" s="4">
        <f>Tabela1[[#This Row],[T]]*Tabela1[[#This Row],[ln(R/Rref)]]</f>
        <v>-160.92116857552503</v>
      </c>
      <c r="I24" s="4">
        <f>Tabela1[[#This Row],[T]]*Tabela1[[#This Row],[ln²(R/Rref)]]</f>
        <v>83.279056104558762</v>
      </c>
      <c r="J24" s="4">
        <f>Tabela1[[#This Row],[T]]*Tabela1[[#This Row],[ln³(R/Rref)]]</f>
        <v>-43.098128400747093</v>
      </c>
    </row>
    <row r="25" spans="1:10" x14ac:dyDescent="0.25">
      <c r="A25" s="2">
        <v>38.799999999999997</v>
      </c>
      <c r="B25" s="2">
        <v>5700</v>
      </c>
      <c r="C25" s="2">
        <v>10000</v>
      </c>
      <c r="D25" s="2">
        <f>LN(Tabela1[[#This Row],[Resistência medida (ohm)]]/Tabela1[[#This Row],[Rref]])</f>
        <v>-0.56211891815354131</v>
      </c>
      <c r="E25" s="2">
        <f>POWER(Tabela1[[#This Row],[ln(R/Rref)]],2)</f>
        <v>0.31597767814610767</v>
      </c>
      <c r="F25" s="2">
        <f>POWER(Tabela1[[#This Row],[ln(R/Rref)]],3)</f>
        <v>-0.1776170306001579</v>
      </c>
      <c r="G25" s="2">
        <f>Tabela1[[#This Row],[Temperatura ºC]]+273.15</f>
        <v>311.95</v>
      </c>
      <c r="H25" s="4">
        <f>Tabela1[[#This Row],[T]]*Tabela1[[#This Row],[ln(R/Rref)]]</f>
        <v>-175.35299651799721</v>
      </c>
      <c r="I25" s="4">
        <f>Tabela1[[#This Row],[T]]*Tabela1[[#This Row],[ln²(R/Rref)]]</f>
        <v>98.569236697678278</v>
      </c>
      <c r="J25" s="4">
        <f>Tabela1[[#This Row],[T]]*Tabela1[[#This Row],[ln³(R/Rref)]]</f>
        <v>-55.407632695719258</v>
      </c>
    </row>
    <row r="26" spans="1:10" x14ac:dyDescent="0.25">
      <c r="A26" s="2">
        <v>39.700000000000003</v>
      </c>
      <c r="B26" s="2">
        <v>5630</v>
      </c>
      <c r="C26" s="2">
        <v>10000</v>
      </c>
      <c r="D26" s="2">
        <f>LN(Tabela1[[#This Row],[Resistência medida (ohm)]]/Tabela1[[#This Row],[Rref]])</f>
        <v>-0.57447565084244678</v>
      </c>
      <c r="E26" s="2">
        <f>POWER(Tabela1[[#This Row],[ln(R/Rref)]],2)</f>
        <v>0.33002227341085283</v>
      </c>
      <c r="F26" s="2">
        <f>POWER(Tabela1[[#This Row],[ln(R/Rref)]],3)</f>
        <v>-0.18958976031020361</v>
      </c>
      <c r="G26" s="2">
        <f>Tabela1[[#This Row],[Temperatura ºC]]+273.15</f>
        <v>312.84999999999997</v>
      </c>
      <c r="H26" s="4">
        <f>Tabela1[[#This Row],[T]]*Tabela1[[#This Row],[ln(R/Rref)]]</f>
        <v>-179.72470736605945</v>
      </c>
      <c r="I26" s="4">
        <f>Tabela1[[#This Row],[T]]*Tabela1[[#This Row],[ln²(R/Rref)]]</f>
        <v>103.24746823658529</v>
      </c>
      <c r="J26" s="4">
        <f>Tabela1[[#This Row],[T]]*Tabela1[[#This Row],[ln³(R/Rref)]]</f>
        <v>-59.31315651304719</v>
      </c>
    </row>
    <row r="27" spans="1:10" x14ac:dyDescent="0.25">
      <c r="A27" s="2">
        <v>40.1</v>
      </c>
      <c r="B27" s="2">
        <v>5330</v>
      </c>
      <c r="C27" s="2">
        <v>10000</v>
      </c>
      <c r="D27" s="2">
        <f>LN(Tabela1[[#This Row],[Resistência medida (ohm)]]/Tabela1[[#This Row],[Rref]])</f>
        <v>-0.62923385481629246</v>
      </c>
      <c r="E27" s="2">
        <f>POWER(Tabela1[[#This Row],[ln(R/Rref)]],2)</f>
        <v>0.395935244046971</v>
      </c>
      <c r="F27" s="2">
        <f>POWER(Tabela1[[#This Row],[ln(R/Rref)]],3)</f>
        <v>-0.24913585986930509</v>
      </c>
      <c r="G27" s="2">
        <f>Tabela1[[#This Row],[Temperatura ºC]]+273.15</f>
        <v>313.25</v>
      </c>
      <c r="H27" s="4">
        <f>Tabela1[[#This Row],[T]]*Tabela1[[#This Row],[ln(R/Rref)]]</f>
        <v>-197.10750502120362</v>
      </c>
      <c r="I27" s="4">
        <f>Tabela1[[#This Row],[T]]*Tabela1[[#This Row],[ln²(R/Rref)]]</f>
        <v>124.02671519771367</v>
      </c>
      <c r="J27" s="4">
        <f>Tabela1[[#This Row],[T]]*Tabela1[[#This Row],[ln³(R/Rref)]]</f>
        <v>-78.041808104059825</v>
      </c>
    </row>
    <row r="28" spans="1:10" x14ac:dyDescent="0.25">
      <c r="A28" s="2">
        <v>41.4</v>
      </c>
      <c r="B28" s="2">
        <v>5180</v>
      </c>
      <c r="C28" s="2">
        <v>10000</v>
      </c>
      <c r="D28" s="2">
        <f>LN(Tabela1[[#This Row],[Resistência medida (ohm)]]/Tabela1[[#This Row],[Rref]])</f>
        <v>-0.65778003672265395</v>
      </c>
      <c r="E28" s="2">
        <f>POWER(Tabela1[[#This Row],[ln(R/Rref)]],2)</f>
        <v>0.43267457671085596</v>
      </c>
      <c r="F28" s="2">
        <f>POWER(Tabela1[[#This Row],[ln(R/Rref)]],3)</f>
        <v>-0.28460469895782559</v>
      </c>
      <c r="G28" s="2">
        <f>Tabela1[[#This Row],[Temperatura ºC]]+273.15</f>
        <v>314.54999999999995</v>
      </c>
      <c r="H28" s="4">
        <f>Tabela1[[#This Row],[T]]*Tabela1[[#This Row],[ln(R/Rref)]]</f>
        <v>-206.90471055111078</v>
      </c>
      <c r="I28" s="4">
        <f>Tabela1[[#This Row],[T]]*Tabela1[[#This Row],[ln²(R/Rref)]]</f>
        <v>136.09778810439971</v>
      </c>
      <c r="J28" s="4">
        <f>Tabela1[[#This Row],[T]]*Tabela1[[#This Row],[ln³(R/Rref)]]</f>
        <v>-89.522408057184023</v>
      </c>
    </row>
    <row r="29" spans="1:10" x14ac:dyDescent="0.25">
      <c r="A29" s="2">
        <v>41.7</v>
      </c>
      <c r="B29" s="2">
        <v>5070</v>
      </c>
      <c r="C29" s="2">
        <v>10000</v>
      </c>
      <c r="D29" s="2">
        <f>LN(Tabela1[[#This Row],[Resistência medida (ohm)]]/Tabela1[[#This Row],[Rref]])</f>
        <v>-0.67924427539095389</v>
      </c>
      <c r="E29" s="2">
        <f>POWER(Tabela1[[#This Row],[ln(R/Rref)]],2)</f>
        <v>0.46137278565138201</v>
      </c>
      <c r="F29" s="2">
        <f>POWER(Tabela1[[#This Row],[ln(R/Rref)]],3)</f>
        <v>-0.31338482347487884</v>
      </c>
      <c r="G29" s="2">
        <f>Tabela1[[#This Row],[Temperatura ºC]]+273.15</f>
        <v>314.84999999999997</v>
      </c>
      <c r="H29" s="4">
        <f>Tabela1[[#This Row],[T]]*Tabela1[[#This Row],[ln(R/Rref)]]</f>
        <v>-213.86006010684181</v>
      </c>
      <c r="I29" s="4">
        <f>Tabela1[[#This Row],[T]]*Tabela1[[#This Row],[ln²(R/Rref)]]</f>
        <v>145.26322156233761</v>
      </c>
      <c r="J29" s="4">
        <f>Tabela1[[#This Row],[T]]*Tabela1[[#This Row],[ln³(R/Rref)]]</f>
        <v>-98.669211671065597</v>
      </c>
    </row>
    <row r="30" spans="1:10" x14ac:dyDescent="0.25">
      <c r="A30" s="2">
        <v>42.5</v>
      </c>
      <c r="B30" s="2">
        <v>4920</v>
      </c>
      <c r="C30" s="2">
        <v>10000</v>
      </c>
      <c r="D30" s="2">
        <f>LN(Tabela1[[#This Row],[Resistência medida (ohm)]]/Tabela1[[#This Row],[Rref]])</f>
        <v>-0.70927656248982895</v>
      </c>
      <c r="E30" s="2">
        <f>POWER(Tabela1[[#This Row],[ln(R/Rref)]],2)</f>
        <v>0.50307324209738824</v>
      </c>
      <c r="F30" s="2">
        <f>POWER(Tabela1[[#This Row],[ln(R/Rref)]],3)</f>
        <v>-0.35681805983544906</v>
      </c>
      <c r="G30" s="2">
        <f>Tabela1[[#This Row],[Temperatura ºC]]+273.15</f>
        <v>315.64999999999998</v>
      </c>
      <c r="H30" s="2">
        <f>Tabela1[[#This Row],[T]]*Tabela1[[#This Row],[ln(R/Rref)]]</f>
        <v>-223.8831469499145</v>
      </c>
      <c r="I30" s="2">
        <f>Tabela1[[#This Row],[T]]*Tabela1[[#This Row],[ln²(R/Rref)]]</f>
        <v>158.79506886804057</v>
      </c>
      <c r="J30" s="4">
        <f>Tabela1[[#This Row],[T]]*Tabela1[[#This Row],[ln³(R/Rref)]]</f>
        <v>-112.62962058705949</v>
      </c>
    </row>
    <row r="31" spans="1:10" x14ac:dyDescent="0.25">
      <c r="A31" s="2">
        <v>42.7</v>
      </c>
      <c r="B31" s="2">
        <v>4860</v>
      </c>
      <c r="C31" s="2">
        <v>10000</v>
      </c>
      <c r="D31" s="2">
        <f>LN(Tabela1[[#This Row],[Resistência medida (ohm)]]/Tabela1[[#This Row],[Rref]])</f>
        <v>-0.72154665508164328</v>
      </c>
      <c r="E31" s="2">
        <f>POWER(Tabela1[[#This Row],[ln(R/Rref)]],2)</f>
        <v>0.52062957545950794</v>
      </c>
      <c r="F31" s="2">
        <f>POWER(Tabela1[[#This Row],[ln(R/Rref)]],3)</f>
        <v>-0.37565852870938393</v>
      </c>
      <c r="G31" s="2">
        <f>Tabela1[[#This Row],[Temperatura ºC]]+273.15</f>
        <v>315.84999999999997</v>
      </c>
      <c r="H31" s="4">
        <f>Tabela1[[#This Row],[T]]*Tabela1[[#This Row],[ln(R/Rref)]]</f>
        <v>-227.90051100753701</v>
      </c>
      <c r="I31" s="4">
        <f>Tabela1[[#This Row],[T]]*Tabela1[[#This Row],[ln²(R/Rref)]]</f>
        <v>164.44085140888558</v>
      </c>
      <c r="J31" s="4">
        <f>Tabela1[[#This Row],[T]]*Tabela1[[#This Row],[ln³(R/Rref)]]</f>
        <v>-118.6517462928589</v>
      </c>
    </row>
    <row r="32" spans="1:10" x14ac:dyDescent="0.25">
      <c r="A32" s="2">
        <v>43</v>
      </c>
      <c r="B32" s="5">
        <v>4640</v>
      </c>
      <c r="C32" s="2">
        <v>10000</v>
      </c>
      <c r="D32" s="2">
        <f>LN(Tabela1[[#This Row],[Resistência medida (ohm)]]/Tabela1[[#This Row],[Rref]])</f>
        <v>-0.76787072675588175</v>
      </c>
      <c r="E32" s="2">
        <f>POWER(Tabela1[[#This Row],[ln(R/Rref)]],2)</f>
        <v>0.58962545300860603</v>
      </c>
      <c r="F32" s="2">
        <f>POWER(Tabela1[[#This Row],[ln(R/Rref)]],3)</f>
        <v>-0.4527561251154843</v>
      </c>
      <c r="G32" s="2">
        <f>Tabela1[[#This Row],[Temperatura ºC]]+273.15</f>
        <v>316.14999999999998</v>
      </c>
      <c r="H32" s="4">
        <f>Tabela1[[#This Row],[T]]*Tabela1[[#This Row],[ln(R/Rref)]]</f>
        <v>-242.762330263872</v>
      </c>
      <c r="I32" s="4">
        <f>Tabela1[[#This Row],[T]]*Tabela1[[#This Row],[ln²(R/Rref)]]</f>
        <v>186.41008696867078</v>
      </c>
      <c r="J32" s="4">
        <f>Tabela1[[#This Row],[T]]*Tabela1[[#This Row],[ln³(R/Rref)]]</f>
        <v>-143.13884895526036</v>
      </c>
    </row>
    <row r="33" spans="1:10" x14ac:dyDescent="0.25">
      <c r="A33">
        <v>45.5</v>
      </c>
      <c r="B33" s="1">
        <v>4240</v>
      </c>
      <c r="C33">
        <v>10000</v>
      </c>
      <c r="D33">
        <f>LN(Tabela1[[#This Row],[Resistência medida (ohm)]]/Tabela1[[#This Row],[Rref]])</f>
        <v>-0.85802182375017932</v>
      </c>
      <c r="E33">
        <f>POWER(Tabela1[[#This Row],[ln(R/Rref)]],2)</f>
        <v>0.73620145003158377</v>
      </c>
      <c r="F33">
        <f>POWER(Tabela1[[#This Row],[ln(R/Rref)]],3)</f>
        <v>-0.63167691080362598</v>
      </c>
      <c r="G33">
        <f>Tabela1[[#This Row],[Temperatura ºC]]+273.15</f>
        <v>318.64999999999998</v>
      </c>
      <c r="H33" s="3">
        <f>Tabela1[[#This Row],[T]]*Tabela1[[#This Row],[ln(R/Rref)]]</f>
        <v>-273.40865413799463</v>
      </c>
      <c r="I33" s="3">
        <f>Tabela1[[#This Row],[T]]*Tabela1[[#This Row],[ln²(R/Rref)]]</f>
        <v>234.59059205256415</v>
      </c>
      <c r="J33" s="3">
        <f>Tabela1[[#This Row],[T]]*Tabela1[[#This Row],[ln³(R/Rref)]]</f>
        <v>-201.2838476275754</v>
      </c>
    </row>
    <row r="34" spans="1:10" x14ac:dyDescent="0.25">
      <c r="A34" s="2">
        <v>100</v>
      </c>
      <c r="B34" s="2">
        <v>682</v>
      </c>
      <c r="C34" s="2">
        <v>10000</v>
      </c>
      <c r="D34" s="2">
        <f>LN(Tabela1[[#This Row],[Resistência medida (ohm)]]/Tabela1[[#This Row],[Rref]])</f>
        <v>-2.6853107141327208</v>
      </c>
      <c r="E34" s="2">
        <f>POWER(Tabela1[[#This Row],[ln(R/Rref)]],2)</f>
        <v>7.2108936314359831</v>
      </c>
      <c r="F34" s="2">
        <f>POWER(Tabela1[[#This Row],[ln(R/Rref)]],3)</f>
        <v>-19.363489926966448</v>
      </c>
      <c r="G34" s="2">
        <f>Tabela1[[#This Row],[Temperatura ºC]]+273.15</f>
        <v>373.15</v>
      </c>
      <c r="H34" s="2">
        <f>Tabela1[[#This Row],[T]]*Tabela1[[#This Row],[ln(R/Rref)]]</f>
        <v>-1002.0236929786247</v>
      </c>
      <c r="I34" s="2">
        <f>Tabela1[[#This Row],[T]]*Tabela1[[#This Row],[ln²(R/Rref)]]</f>
        <v>2690.7449585703371</v>
      </c>
      <c r="J34" s="3">
        <f>Tabela1[[#This Row],[T]]*Tabela1[[#This Row],[ln³(R/Rref)]]</f>
        <v>-7225.4862662475298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opLeftCell="L1" workbookViewId="0">
      <selection activeCell="AA2" sqref="AA2"/>
    </sheetView>
  </sheetViews>
  <sheetFormatPr defaultRowHeight="15" x14ac:dyDescent="0.25"/>
  <cols>
    <col min="1" max="1" width="17" customWidth="1"/>
    <col min="2" max="2" width="26.140625" customWidth="1"/>
    <col min="5" max="5" width="13.140625" bestFit="1" customWidth="1"/>
    <col min="6" max="7" width="12" customWidth="1"/>
    <col min="8" max="8" width="12.85546875" customWidth="1"/>
    <col min="9" max="9" width="12" customWidth="1"/>
    <col min="11" max="13" width="12" customWidth="1"/>
    <col min="14" max="14" width="12" bestFit="1" customWidth="1"/>
    <col min="15" max="15" width="9.140625" customWidth="1"/>
    <col min="16" max="16" width="12" customWidth="1"/>
    <col min="17" max="18" width="12.7109375" customWidth="1"/>
    <col min="20" max="20" width="12" customWidth="1"/>
    <col min="21" max="21" width="11" customWidth="1"/>
    <col min="22" max="22" width="12.7109375" customWidth="1"/>
    <col min="24" max="27" width="12" customWidth="1"/>
  </cols>
  <sheetData>
    <row r="1" spans="1:28" x14ac:dyDescent="0.25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K1" t="s">
        <v>14</v>
      </c>
      <c r="L1" t="s">
        <v>15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32</v>
      </c>
      <c r="AB1" t="s">
        <v>31</v>
      </c>
    </row>
    <row r="2" spans="1:28" x14ac:dyDescent="0.25">
      <c r="A2" s="2">
        <v>0</v>
      </c>
      <c r="B2" s="2">
        <v>33000</v>
      </c>
      <c r="C2">
        <f>LN(Tabela2[[#This Row],[Resistência medida (ohm)]]/10000)</f>
        <v>1.1939224684724346</v>
      </c>
      <c r="D2">
        <f>POWER(Tabela2[[#This Row],[ln(R/Rref)]],2)</f>
        <v>1.4254508607233114</v>
      </c>
      <c r="E2">
        <f>POWER(Tabela2[[#This Row],[ln(R/Rref)]],3)</f>
        <v>1.7018778103209324</v>
      </c>
      <c r="F2">
        <v>3.354016E-3</v>
      </c>
      <c r="G2" s="2">
        <v>2.5698499999999999E-4</v>
      </c>
      <c r="H2" s="2">
        <v>2.6201309999999999E-6</v>
      </c>
      <c r="I2" s="2">
        <v>6.3830910000000002E-8</v>
      </c>
      <c r="J2" s="2">
        <f>(1/(Tabela2[[#This Row],[A1-D]]+Tabela2[[#This Row],[B1-D]]*Tabela2[[#This Row],[ln(R/Rref)]]+Tabela2[[#This Row],[C1-D]]*Tabela2[[#This Row],[ln²(R/Rref)]]+Tabela2[[#This Row],[D1_D]]*Tabela2[[#This Row],[ln³(R/Rref)]]))-273.15</f>
        <v>-0.27485369758960587</v>
      </c>
      <c r="K2" s="2">
        <v>3.3432562999999998E-3</v>
      </c>
      <c r="L2" s="2">
        <v>2.6025183000000002E-4</v>
      </c>
      <c r="M2" s="2">
        <v>4.92146E-6</v>
      </c>
      <c r="N2" s="2">
        <f>(1/(Tabela2[[#This Row],[A1-C1]]+Tabela2[[#This Row],[B1-C1]]*Tabela2[[#This Row],[ln(R/Rref)]]+Tabela2[[#This Row],[C1-C1]]*Tabela2[[#This Row],[ln²(R/Rref)]]))-273.15</f>
        <v>1.6545598100492498E-6</v>
      </c>
      <c r="O2" s="2">
        <v>3.3540990000000001E-3</v>
      </c>
      <c r="P2" s="2">
        <v>2.6192259999999998E-4</v>
      </c>
      <c r="Q2" s="2">
        <f t="shared" ref="Q2:Q34" si="0">-0.00000158436</f>
        <v>-1.58436E-6</v>
      </c>
      <c r="R2" s="2">
        <f t="shared" ref="R2:R34" si="1">-0.000002094466</f>
        <v>-2.0944659999999999E-6</v>
      </c>
      <c r="S2" s="4">
        <f>(1/(Tabela2[[#This Row],[A1_C2]]+Tabela2[[#This Row],[B1_C2]]*Tabela2[[#This Row],[ln(R/Rref)]]+Tabela2[[#This Row],[C1_C2]]*Tabela2[[#This Row],[ln²(R/Rref)]]+Tabela2[[#This Row],[D1_C2]]*Tabela2[[#This Row],[ln³(R/Rref)]]))-273.15</f>
        <v>6.0006725959738105E-5</v>
      </c>
      <c r="T2" s="4">
        <v>3.3440885E-3</v>
      </c>
      <c r="U2" s="4">
        <v>2.3892993E-4</v>
      </c>
      <c r="V2" s="4">
        <f t="shared" ref="V2:V34" si="2">-0.000013030307</f>
        <v>-1.3030307E-5</v>
      </c>
      <c r="W2" s="4">
        <f>(1/(Tabela2[[#This Row],[A1-C3]]+Tabela2[[#This Row],[B1-C3]]*Tabela2[[#This Row],[ln(R/Rref)]]+Tabela2[[#This Row],[C1-C3]]*Tabela2[[#This Row],[ln²(R/Rref)]]))-273.15</f>
        <v>3.7986052325552464</v>
      </c>
      <c r="X2" s="4">
        <v>3.3607340000000002E-3</v>
      </c>
      <c r="Y2" s="4">
        <v>3.5349200000000001E-4</v>
      </c>
      <c r="Z2" s="4">
        <v>2.301034E-4</v>
      </c>
      <c r="AA2" s="4">
        <v>1.6171649999999999E-4</v>
      </c>
      <c r="AB2" s="4">
        <f>(1/(Tabela2[[#This Row],[A1-C4]]+Tabela2[[#This Row],[B1-C4]]*Tabela2[[#This Row],[ln(R/Rref)]]+Tabela2[[#This Row],[C1-C4]]*Tabela2[[#This Row],[ln²(R/Rref)]]+Tabela2[[#This Row],[D1-C4]]*Tabela2[[#This Row],[ln³(R/Rref)]]))-273.15</f>
        <v>-45.151764398302277</v>
      </c>
    </row>
    <row r="3" spans="1:28" x14ac:dyDescent="0.25">
      <c r="A3">
        <v>17.5</v>
      </c>
      <c r="B3" s="1">
        <v>14760</v>
      </c>
      <c r="C3">
        <f>LN(Tabela2[[#This Row],[Resistência medida (ohm)]]/10000)</f>
        <v>0.38933572617828072</v>
      </c>
      <c r="D3">
        <f>POWER(Tabela2[[#This Row],[ln(R/Rref)]],2)</f>
        <v>0.15158230767876918</v>
      </c>
      <c r="E3">
        <f>POWER(Tabela2[[#This Row],[ln(R/Rref)]],3)</f>
        <v>5.9016407835893174E-2</v>
      </c>
      <c r="F3">
        <v>3.354016E-3</v>
      </c>
      <c r="G3" s="2">
        <v>2.5698499999999999E-4</v>
      </c>
      <c r="H3" s="2">
        <v>2.6201309999999999E-6</v>
      </c>
      <c r="I3" s="2">
        <v>6.3830910000000002E-8</v>
      </c>
      <c r="J3" s="2">
        <f>(1/(Tabela2[[#This Row],[A1-D]]+Tabela2[[#This Row],[B1-D]]*Tabela2[[#This Row],[ln(R/Rref)]]+Tabela2[[#This Row],[C1-D]]*Tabela2[[#This Row],[ln²(R/Rref)]]+Tabela2[[#This Row],[D1_D]]*Tabela2[[#This Row],[ln³(R/Rref)]]))-273.15</f>
        <v>16.329975708672009</v>
      </c>
      <c r="K3" s="2">
        <v>3.3432562999999998E-3</v>
      </c>
      <c r="L3" s="2">
        <v>2.6025183000000002E-4</v>
      </c>
      <c r="M3" s="2">
        <v>4.92146E-6</v>
      </c>
      <c r="N3" s="2">
        <f>(1/(Tabela2[[#This Row],[A1-C1]]+Tabela2[[#This Row],[B1-C1]]*Tabela2[[#This Row],[ln(R/Rref)]]+Tabela2[[#This Row],[C1-C1]]*Tabela2[[#This Row],[ln²(R/Rref)]]))-273.15</f>
        <v>17.098157521711357</v>
      </c>
      <c r="O3" s="2">
        <v>3.3540990000000001E-3</v>
      </c>
      <c r="P3" s="2">
        <v>2.6192259999999998E-4</v>
      </c>
      <c r="Q3" s="2">
        <f t="shared" si="0"/>
        <v>-1.58436E-6</v>
      </c>
      <c r="R3" s="2">
        <f t="shared" si="1"/>
        <v>-2.0944659999999999E-6</v>
      </c>
      <c r="S3" s="4">
        <f>(1/(Tabela2[[#This Row],[A1_C2]]+Tabela2[[#This Row],[B1_C2]]*Tabela2[[#This Row],[ln(R/Rref)]]+Tabela2[[#This Row],[C1_C2]]*Tabela2[[#This Row],[ln²(R/Rref)]]+Tabela2[[#This Row],[D1_C2]]*Tabela2[[#This Row],[ln³(R/Rref)]]))-273.15</f>
        <v>16.226045492089952</v>
      </c>
      <c r="T3" s="4">
        <v>3.3440885E-3</v>
      </c>
      <c r="U3" s="4">
        <v>2.3892993E-4</v>
      </c>
      <c r="V3" s="4">
        <f t="shared" si="2"/>
        <v>-1.3030307E-5</v>
      </c>
      <c r="W3" s="4">
        <f>(1/(Tabela2[[#This Row],[A1-C3]]+Tabela2[[#This Row],[B1-C3]]*Tabela2[[#This Row],[ln(R/Rref)]]+Tabela2[[#This Row],[C1-C3]]*Tabela2[[#This Row],[ln²(R/Rref)]]))-273.15</f>
        <v>17.9591797715388</v>
      </c>
      <c r="X3" s="4">
        <v>3.3607340000000002E-3</v>
      </c>
      <c r="Y3" s="4">
        <v>3.5349200000000001E-4</v>
      </c>
      <c r="Z3" s="4">
        <v>2.301034E-4</v>
      </c>
      <c r="AA3" s="4">
        <v>1.6171649999999999E-4</v>
      </c>
      <c r="AB3" s="4">
        <f>(1/(Tabela2[[#This Row],[A1-C4]]+Tabela2[[#This Row],[B1-C4]]*Tabela2[[#This Row],[ln(R/Rref)]]+Tabela2[[#This Row],[C1-C4]]*Tabela2[[#This Row],[ln²(R/Rref)]]+Tabela2[[#This Row],[D1-C4]]*Tabela2[[#This Row],[ln³(R/Rref)]]))-273.15</f>
        <v>9.1138444295803538</v>
      </c>
    </row>
    <row r="4" spans="1:28" x14ac:dyDescent="0.25">
      <c r="A4">
        <v>25</v>
      </c>
      <c r="B4" s="1">
        <v>10050</v>
      </c>
      <c r="C4">
        <f>LN(Tabela2[[#This Row],[Resistência medida (ohm)]]/10000)</f>
        <v>4.9875415110389679E-3</v>
      </c>
      <c r="D4">
        <f>POWER(Tabela2[[#This Row],[ln(R/Rref)]],2)</f>
        <v>2.4875570324336872E-5</v>
      </c>
      <c r="E4">
        <f>POWER(Tabela2[[#This Row],[ln(R/Rref)]],3)</f>
        <v>1.2406793960339923E-7</v>
      </c>
      <c r="F4">
        <v>3.354016E-3</v>
      </c>
      <c r="G4" s="2">
        <v>2.5698499999999999E-4</v>
      </c>
      <c r="H4" s="2">
        <v>2.6201309999999999E-6</v>
      </c>
      <c r="I4" s="2">
        <v>6.3830910000000002E-8</v>
      </c>
      <c r="J4" s="2">
        <f>(1/(Tabela2[[#This Row],[A1-D]]+Tabela2[[#This Row],[B1-D]]*Tabela2[[#This Row],[ln(R/Rref)]]+Tabela2[[#This Row],[C1-D]]*Tabela2[[#This Row],[ln²(R/Rref)]]+Tabela2[[#This Row],[D1_D]]*Tabela2[[#This Row],[ln³(R/Rref)]]))-273.15</f>
        <v>24.886139568708018</v>
      </c>
      <c r="K4" s="2">
        <v>3.3432562999999998E-3</v>
      </c>
      <c r="L4" s="2">
        <v>2.6025183000000002E-4</v>
      </c>
      <c r="M4" s="2">
        <v>4.92146E-6</v>
      </c>
      <c r="N4" s="2">
        <f>(1/(Tabela2[[#This Row],[A1-C1]]+Tabela2[[#This Row],[B1-C1]]*Tabela2[[#This Row],[ln(R/Rref)]]+Tabela2[[#This Row],[C1-C1]]*Tabela2[[#This Row],[ln²(R/Rref)]]))-273.15</f>
        <v>25.843488720235257</v>
      </c>
      <c r="O4" s="2">
        <v>3.3540990000000001E-3</v>
      </c>
      <c r="P4" s="2">
        <v>2.6192259999999998E-4</v>
      </c>
      <c r="Q4" s="2">
        <f t="shared" si="0"/>
        <v>-1.58436E-6</v>
      </c>
      <c r="R4" s="2">
        <f t="shared" si="1"/>
        <v>-2.0944659999999999E-6</v>
      </c>
      <c r="S4" s="4">
        <f>(1/(Tabela2[[#This Row],[A1_C2]]+Tabela2[[#This Row],[B1_C2]]*Tabela2[[#This Row],[ln(R/Rref)]]+Tabela2[[#This Row],[C1_C2]]*Tabela2[[#This Row],[ln²(R/Rref)]]+Tabela2[[#This Row],[D1_C2]]*Tabela2[[#This Row],[ln³(R/Rref)]]))-273.15</f>
        <v>24.8765892080242</v>
      </c>
      <c r="T4" s="4">
        <v>3.3440885E-3</v>
      </c>
      <c r="U4" s="4">
        <v>2.3892993E-4</v>
      </c>
      <c r="V4" s="4">
        <f t="shared" si="2"/>
        <v>-1.3030307E-5</v>
      </c>
      <c r="W4" s="4">
        <f>(1/(Tabela2[[#This Row],[A1-C3]]+Tabela2[[#This Row],[B1-C3]]*Tabela2[[#This Row],[ln(R/Rref)]]+Tabela2[[#This Row],[C1-C3]]*Tabela2[[#This Row],[ln²(R/Rref)]]))-273.15</f>
        <v>25.778653265402227</v>
      </c>
      <c r="X4" s="4">
        <v>3.3607340000000002E-3</v>
      </c>
      <c r="Y4" s="4">
        <v>3.5349200000000001E-4</v>
      </c>
      <c r="Z4" s="4">
        <v>2.301034E-4</v>
      </c>
      <c r="AA4" s="4">
        <v>1.6171649999999999E-4</v>
      </c>
      <c r="AB4" s="4">
        <f>(1/(Tabela2[[#This Row],[A1-C4]]+Tabela2[[#This Row],[B1-C4]]*Tabela2[[#This Row],[ln(R/Rref)]]+Tabela2[[#This Row],[C1-C4]]*Tabela2[[#This Row],[ln²(R/Rref)]]+Tabela2[[#This Row],[D1-C4]]*Tabela2[[#This Row],[ln³(R/Rref)]]))-273.15</f>
        <v>24.24752186609868</v>
      </c>
    </row>
    <row r="5" spans="1:28" x14ac:dyDescent="0.25">
      <c r="A5">
        <v>27</v>
      </c>
      <c r="B5" s="1">
        <v>9020</v>
      </c>
      <c r="C5">
        <f>LN(Tabela2[[#This Row],[Resistência medida (ohm)]]/10000)</f>
        <v>-0.10314075891951337</v>
      </c>
      <c r="D5">
        <f>POWER(Tabela2[[#This Row],[ln(R/Rref)]],2)</f>
        <v>1.0638016150493177E-2</v>
      </c>
      <c r="E5">
        <f>POWER(Tabela2[[#This Row],[ln(R/Rref)]],3)</f>
        <v>-1.0972130591599065E-3</v>
      </c>
      <c r="F5">
        <v>3.354016E-3</v>
      </c>
      <c r="G5" s="2">
        <v>2.5698499999999999E-4</v>
      </c>
      <c r="H5" s="2">
        <v>2.6201309999999999E-6</v>
      </c>
      <c r="I5" s="2">
        <v>6.3830910000000002E-8</v>
      </c>
      <c r="J5" s="2">
        <f>(1/(Tabela2[[#This Row],[A1-D]]+Tabela2[[#This Row],[B1-D]]*Tabela2[[#This Row],[ln(R/Rref)]]+Tabela2[[#This Row],[C1-D]]*Tabela2[[#This Row],[ln²(R/Rref)]]+Tabela2[[#This Row],[D1_D]]*Tabela2[[#This Row],[ln³(R/Rref)]]))-273.15</f>
        <v>27.372472590815107</v>
      </c>
      <c r="K5" s="2">
        <v>3.3432562999999998E-3</v>
      </c>
      <c r="L5" s="2">
        <v>2.6025183000000002E-4</v>
      </c>
      <c r="M5" s="2">
        <v>4.92146E-6</v>
      </c>
      <c r="N5" s="2">
        <f>(1/(Tabela2[[#This Row],[A1-C1]]+Tabela2[[#This Row],[B1-C1]]*Tabela2[[#This Row],[ln(R/Rref)]]+Tabela2[[#This Row],[C1-C1]]*Tabela2[[#This Row],[ln²(R/Rref)]]))-273.15</f>
        <v>28.375773181003296</v>
      </c>
      <c r="O5" s="2">
        <v>3.3540990000000001E-3</v>
      </c>
      <c r="P5" s="2">
        <v>2.6192259999999998E-4</v>
      </c>
      <c r="Q5" s="2">
        <f t="shared" si="0"/>
        <v>-1.58436E-6</v>
      </c>
      <c r="R5" s="2">
        <f t="shared" si="1"/>
        <v>-2.0944659999999999E-6</v>
      </c>
      <c r="S5" s="4">
        <f>(1/(Tabela2[[#This Row],[A1_C2]]+Tabela2[[#This Row],[B1_C2]]*Tabela2[[#This Row],[ln(R/Rref)]]+Tabela2[[#This Row],[C1_C2]]*Tabela2[[#This Row],[ln²(R/Rref)]]+Tabela2[[#This Row],[D1_C2]]*Tabela2[[#This Row],[ln³(R/Rref)]]))-273.15</f>
        <v>27.414802029880036</v>
      </c>
      <c r="T5" s="4">
        <v>3.3440885E-3</v>
      </c>
      <c r="U5" s="4">
        <v>2.3892993E-4</v>
      </c>
      <c r="V5" s="4">
        <f t="shared" si="2"/>
        <v>-1.3030307E-5</v>
      </c>
      <c r="W5" s="4">
        <f>(1/(Tabela2[[#This Row],[A1-C3]]+Tabela2[[#This Row],[B1-C3]]*Tabela2[[#This Row],[ln(R/Rref)]]+Tabela2[[#This Row],[C1-C3]]*Tabela2[[#This Row],[ln²(R/Rref)]]))-273.15</f>
        <v>28.117752561185569</v>
      </c>
      <c r="X5" s="4">
        <v>3.3607340000000002E-3</v>
      </c>
      <c r="Y5" s="4">
        <v>3.5349200000000001E-4</v>
      </c>
      <c r="Z5" s="4">
        <v>2.301034E-4</v>
      </c>
      <c r="AA5" s="4">
        <v>1.6171649999999999E-4</v>
      </c>
      <c r="AB5" s="4">
        <f>(1/(Tabela2[[#This Row],[A1-C4]]+Tabela2[[#This Row],[B1-C4]]*Tabela2[[#This Row],[ln(R/Rref)]]+Tabela2[[#This Row],[C1-C4]]*Tabela2[[#This Row],[ln²(R/Rref)]]+Tabela2[[#This Row],[D1-C4]]*Tabela2[[#This Row],[ln³(R/Rref)]]))-273.15</f>
        <v>27.462199171553095</v>
      </c>
    </row>
    <row r="6" spans="1:28" x14ac:dyDescent="0.25">
      <c r="A6">
        <v>29</v>
      </c>
      <c r="B6" s="1">
        <v>8250</v>
      </c>
      <c r="C6">
        <f>LN(Tabela2[[#This Row],[Resistência medida (ohm)]]/10000)</f>
        <v>-0.19237189264745613</v>
      </c>
      <c r="D6">
        <f>POWER(Tabela2[[#This Row],[ln(R/Rref)]],2)</f>
        <v>3.7006945080764388E-2</v>
      </c>
      <c r="E6">
        <f>POWER(Tabela2[[#This Row],[ln(R/Rref)]],3)</f>
        <v>-7.1190960662871113E-3</v>
      </c>
      <c r="F6">
        <v>3.354016E-3</v>
      </c>
      <c r="G6" s="2">
        <v>2.5698499999999999E-4</v>
      </c>
      <c r="H6" s="2">
        <v>2.6201309999999999E-6</v>
      </c>
      <c r="I6" s="2">
        <v>6.3830910000000002E-8</v>
      </c>
      <c r="J6" s="2">
        <f>(1/(Tabela2[[#This Row],[A1-D]]+Tabela2[[#This Row],[B1-D]]*Tabela2[[#This Row],[ln(R/Rref)]]+Tabela2[[#This Row],[C1-D]]*Tabela2[[#This Row],[ln²(R/Rref)]]+Tabela2[[#This Row],[D1_D]]*Tabela2[[#This Row],[ln³(R/Rref)]]))-273.15</f>
        <v>29.451542522149566</v>
      </c>
      <c r="K6" s="2">
        <v>3.3432562999999998E-3</v>
      </c>
      <c r="L6" s="2">
        <v>2.6025183000000002E-4</v>
      </c>
      <c r="M6" s="2">
        <v>4.92146E-6</v>
      </c>
      <c r="N6" s="2">
        <f>(1/(Tabela2[[#This Row],[A1-C1]]+Tabela2[[#This Row],[B1-C1]]*Tabela2[[#This Row],[ln(R/Rref)]]+Tabela2[[#This Row],[C1-C1]]*Tabela2[[#This Row],[ln²(R/Rref)]]))-273.15</f>
        <v>30.490040654681366</v>
      </c>
      <c r="O6" s="2">
        <v>3.3540990000000001E-3</v>
      </c>
      <c r="P6" s="2">
        <v>2.6192259999999998E-4</v>
      </c>
      <c r="Q6" s="2">
        <f t="shared" si="0"/>
        <v>-1.58436E-6</v>
      </c>
      <c r="R6" s="2">
        <f t="shared" si="1"/>
        <v>-2.0944659999999999E-6</v>
      </c>
      <c r="S6" s="4">
        <f>(1/(Tabela2[[#This Row],[A1_C2]]+Tabela2[[#This Row],[B1_C2]]*Tabela2[[#This Row],[ln(R/Rref)]]+Tabela2[[#This Row],[C1_C2]]*Tabela2[[#This Row],[ln²(R/Rref)]]+Tabela2[[#This Row],[D1_C2]]*Tabela2[[#This Row],[ln³(R/Rref)]]))-273.15</f>
        <v>29.543787148193076</v>
      </c>
      <c r="T6" s="4">
        <v>3.3440885E-3</v>
      </c>
      <c r="U6" s="4">
        <v>2.3892993E-4</v>
      </c>
      <c r="V6" s="4">
        <f t="shared" si="2"/>
        <v>-1.3030307E-5</v>
      </c>
      <c r="W6" s="4">
        <f>(1/(Tabela2[[#This Row],[A1-C3]]+Tabela2[[#This Row],[B1-C3]]*Tabela2[[#This Row],[ln(R/Rref)]]+Tabela2[[#This Row],[C1-C3]]*Tabela2[[#This Row],[ln²(R/Rref)]]))-273.15</f>
        <v>30.096905375247388</v>
      </c>
      <c r="X6" s="4">
        <v>3.3607340000000002E-3</v>
      </c>
      <c r="Y6" s="4">
        <v>3.5349200000000001E-4</v>
      </c>
      <c r="Z6" s="4">
        <v>2.301034E-4</v>
      </c>
      <c r="AA6" s="4">
        <v>1.6171649999999999E-4</v>
      </c>
      <c r="AB6" s="4">
        <f>(1/(Tabela2[[#This Row],[A1-C4]]+Tabela2[[#This Row],[B1-C4]]*Tabela2[[#This Row],[ln(R/Rref)]]+Tabela2[[#This Row],[C1-C4]]*Tabela2[[#This Row],[ln²(R/Rref)]]+Tabela2[[#This Row],[D1-C4]]*Tabela2[[#This Row],[ln³(R/Rref)]]))-273.15</f>
        <v>29.871467336428452</v>
      </c>
    </row>
    <row r="7" spans="1:28" x14ac:dyDescent="0.25">
      <c r="A7">
        <v>31</v>
      </c>
      <c r="B7" s="1">
        <v>7740</v>
      </c>
      <c r="C7">
        <f>LN(Tabela2[[#This Row],[Resistência medida (ohm)]]/10000)</f>
        <v>-0.25618340539240991</v>
      </c>
      <c r="D7">
        <f>POWER(Tabela2[[#This Row],[ln(R/Rref)]],2)</f>
        <v>6.5629937198451838E-2</v>
      </c>
      <c r="E7">
        <f>POWER(Tabela2[[#This Row],[ln(R/Rref)]],3)</f>
        <v>-1.6813300807189391E-2</v>
      </c>
      <c r="F7">
        <v>3.354016E-3</v>
      </c>
      <c r="G7" s="2">
        <v>2.5698499999999999E-4</v>
      </c>
      <c r="H7" s="2">
        <v>2.6201309999999999E-6</v>
      </c>
      <c r="I7" s="2">
        <v>6.3830910000000002E-8</v>
      </c>
      <c r="J7" s="2">
        <f>(1/(Tabela2[[#This Row],[A1-D]]+Tabela2[[#This Row],[B1-D]]*Tabela2[[#This Row],[ln(R/Rref)]]+Tabela2[[#This Row],[C1-D]]*Tabela2[[#This Row],[ln²(R/Rref)]]+Tabela2[[#This Row],[D1_D]]*Tabela2[[#This Row],[ln³(R/Rref)]]))-273.15</f>
        <v>30.953734530744612</v>
      </c>
      <c r="K7" s="2">
        <v>3.3432562999999998E-3</v>
      </c>
      <c r="L7" s="2">
        <v>2.6025183000000002E-4</v>
      </c>
      <c r="M7" s="2">
        <v>4.92146E-6</v>
      </c>
      <c r="N7" s="2">
        <f>(1/(Tabela2[[#This Row],[A1-C1]]+Tabela2[[#This Row],[B1-C1]]*Tabela2[[#This Row],[ln(R/Rref)]]+Tabela2[[#This Row],[C1-C1]]*Tabela2[[#This Row],[ln²(R/Rref)]]))-273.15</f>
        <v>32.01580757296972</v>
      </c>
      <c r="O7" s="2">
        <v>3.3540990000000001E-3</v>
      </c>
      <c r="P7" s="2">
        <v>2.6192259999999998E-4</v>
      </c>
      <c r="Q7" s="2">
        <f t="shared" si="0"/>
        <v>-1.58436E-6</v>
      </c>
      <c r="R7" s="2">
        <f t="shared" si="1"/>
        <v>-2.0944659999999999E-6</v>
      </c>
      <c r="S7" s="4">
        <f>(1/(Tabela2[[#This Row],[A1_C2]]+Tabela2[[#This Row],[B1_C2]]*Tabela2[[#This Row],[ln(R/Rref)]]+Tabela2[[#This Row],[C1_C2]]*Tabela2[[#This Row],[ln²(R/Rref)]]+Tabela2[[#This Row],[D1_C2]]*Tabela2[[#This Row],[ln³(R/Rref)]]))-273.15</f>
        <v>31.085258131963087</v>
      </c>
      <c r="T7" s="4">
        <v>3.3440885E-3</v>
      </c>
      <c r="U7" s="4">
        <v>2.3892993E-4</v>
      </c>
      <c r="V7" s="4">
        <f t="shared" si="2"/>
        <v>-1.3030307E-5</v>
      </c>
      <c r="W7" s="4">
        <f>(1/(Tabela2[[#This Row],[A1-C3]]+Tabela2[[#This Row],[B1-C3]]*Tabela2[[#This Row],[ln(R/Rref)]]+Tabela2[[#This Row],[C1-C3]]*Tabela2[[#This Row],[ln²(R/Rref)]]))-273.15</f>
        <v>31.540084849186087</v>
      </c>
      <c r="X7" s="4">
        <v>3.3607340000000002E-3</v>
      </c>
      <c r="Y7" s="4">
        <v>3.5349200000000001E-4</v>
      </c>
      <c r="Z7" s="4">
        <v>2.301034E-4</v>
      </c>
      <c r="AA7" s="4">
        <v>1.6171649999999999E-4</v>
      </c>
      <c r="AB7" s="4">
        <f>(1/(Tabela2[[#This Row],[A1-C4]]+Tabela2[[#This Row],[B1-C4]]*Tabela2[[#This Row],[ln(R/Rref)]]+Tabela2[[#This Row],[C1-C4]]*Tabela2[[#This Row],[ln²(R/Rref)]]+Tabela2[[#This Row],[D1-C4]]*Tabela2[[#This Row],[ln³(R/Rref)]]))-273.15</f>
        <v>31.490475723548229</v>
      </c>
    </row>
    <row r="8" spans="1:28" x14ac:dyDescent="0.25">
      <c r="A8" s="2">
        <v>32.200000000000003</v>
      </c>
      <c r="B8" s="2">
        <v>7520</v>
      </c>
      <c r="C8">
        <f>LN(Tabela2[[#This Row],[Resistência medida (ohm)]]/10000)</f>
        <v>-0.28501895503229724</v>
      </c>
      <c r="D8">
        <f>POWER(Tabela2[[#This Row],[ln(R/Rref)]],2)</f>
        <v>8.1235804727702671E-2</v>
      </c>
      <c r="E8">
        <f>POWER(Tabela2[[#This Row],[ln(R/Rref)]],3)</f>
        <v>-2.3153744174697566E-2</v>
      </c>
      <c r="F8">
        <v>3.354016E-3</v>
      </c>
      <c r="G8" s="2">
        <v>2.5698499999999999E-4</v>
      </c>
      <c r="H8" s="2">
        <v>2.6201309999999999E-6</v>
      </c>
      <c r="I8" s="2">
        <v>6.3830910000000002E-8</v>
      </c>
      <c r="J8" s="2">
        <f>(1/(Tabela2[[#This Row],[A1-D]]+Tabela2[[#This Row],[B1-D]]*Tabela2[[#This Row],[ln(R/Rref)]]+Tabela2[[#This Row],[C1-D]]*Tabela2[[#This Row],[ln²(R/Rref)]]+Tabela2[[#This Row],[D1_D]]*Tabela2[[#This Row],[ln³(R/Rref)]]))-273.15</f>
        <v>31.636819546722108</v>
      </c>
      <c r="K8" s="2">
        <v>3.3432562999999998E-3</v>
      </c>
      <c r="L8" s="2">
        <v>2.6025183000000002E-4</v>
      </c>
      <c r="M8" s="2">
        <v>4.92146E-6</v>
      </c>
      <c r="N8" s="2">
        <f>(1/(Tabela2[[#This Row],[A1-C1]]+Tabela2[[#This Row],[B1-C1]]*Tabela2[[#This Row],[ln(R/Rref)]]+Tabela2[[#This Row],[C1-C1]]*Tabela2[[#This Row],[ln²(R/Rref)]]))-273.15</f>
        <v>32.709092366471339</v>
      </c>
      <c r="O8" s="2">
        <v>3.3540990000000001E-3</v>
      </c>
      <c r="P8" s="2">
        <v>2.6192259999999998E-4</v>
      </c>
      <c r="Q8" s="2">
        <f t="shared" si="0"/>
        <v>-1.58436E-6</v>
      </c>
      <c r="R8" s="2">
        <f t="shared" si="1"/>
        <v>-2.0944659999999999E-6</v>
      </c>
      <c r="S8" s="4">
        <f>(1/(Tabela2[[#This Row],[A1_C2]]+Tabela2[[#This Row],[B1_C2]]*Tabela2[[#This Row],[ln(R/Rref)]]+Tabela2[[#This Row],[C1_C2]]*Tabela2[[#This Row],[ln²(R/Rref)]]+Tabela2[[#This Row],[D1_C2]]*Tabela2[[#This Row],[ln³(R/Rref)]]))-273.15</f>
        <v>31.787001821625665</v>
      </c>
      <c r="T8" s="4">
        <v>3.3440885E-3</v>
      </c>
      <c r="U8" s="4">
        <v>2.3892993E-4</v>
      </c>
      <c r="V8" s="4">
        <f t="shared" si="2"/>
        <v>-1.3030307E-5</v>
      </c>
      <c r="W8" s="4">
        <f>(1/(Tabela2[[#This Row],[A1-C3]]+Tabela2[[#This Row],[B1-C3]]*Tabela2[[#This Row],[ln(R/Rref)]]+Tabela2[[#This Row],[C1-C3]]*Tabela2[[#This Row],[ln²(R/Rref)]]))-273.15</f>
        <v>32.199999457199283</v>
      </c>
      <c r="X8" s="4">
        <v>3.3607340000000002E-3</v>
      </c>
      <c r="Y8" s="4">
        <v>3.5349200000000001E-4</v>
      </c>
      <c r="Z8" s="4">
        <v>2.301034E-4</v>
      </c>
      <c r="AA8" s="4">
        <v>1.6171649999999999E-4</v>
      </c>
      <c r="AB8" s="4">
        <f>(1/(Tabela2[[#This Row],[A1-C4]]+Tabela2[[#This Row],[B1-C4]]*Tabela2[[#This Row],[ln(R/Rref)]]+Tabela2[[#This Row],[C1-C4]]*Tabela2[[#This Row],[ln²(R/Rref)]]+Tabela2[[#This Row],[D1-C4]]*Tabela2[[#This Row],[ln³(R/Rref)]]))-273.15</f>
        <v>32.200003336204759</v>
      </c>
    </row>
    <row r="9" spans="1:28" x14ac:dyDescent="0.25">
      <c r="A9" s="2">
        <v>32.6</v>
      </c>
      <c r="B9" s="2">
        <v>7390</v>
      </c>
      <c r="C9">
        <f>LN(Tabela2[[#This Row],[Resistência medida (ohm)]]/10000)</f>
        <v>-0.30245735803393531</v>
      </c>
      <c r="D9">
        <f>POWER(Tabela2[[#This Row],[ln(R/Rref)]],2)</f>
        <v>9.1480453428868125E-2</v>
      </c>
      <c r="E9">
        <f>POWER(Tabela2[[#This Row],[ln(R/Rref)]],3)</f>
        <v>-2.7668936255841912E-2</v>
      </c>
      <c r="F9">
        <v>3.354016E-3</v>
      </c>
      <c r="G9" s="2">
        <v>2.5698499999999999E-4</v>
      </c>
      <c r="H9" s="2">
        <v>2.6201309999999999E-6</v>
      </c>
      <c r="I9" s="2">
        <v>6.3830910000000002E-8</v>
      </c>
      <c r="J9" s="2">
        <f>(1/(Tabela2[[#This Row],[A1-D]]+Tabela2[[#This Row],[B1-D]]*Tabela2[[#This Row],[ln(R/Rref)]]+Tabela2[[#This Row],[C1-D]]*Tabela2[[#This Row],[ln²(R/Rref)]]+Tabela2[[#This Row],[D1_D]]*Tabela2[[#This Row],[ln³(R/Rref)]]))-273.15</f>
        <v>32.05121588142606</v>
      </c>
      <c r="K9" s="2">
        <v>3.3432562999999998E-3</v>
      </c>
      <c r="L9" s="2">
        <v>2.6025183000000002E-4</v>
      </c>
      <c r="M9" s="2">
        <v>4.92146E-6</v>
      </c>
      <c r="N9" s="2">
        <f>(1/(Tabela2[[#This Row],[A1-C1]]+Tabela2[[#This Row],[B1-C1]]*Tabela2[[#This Row],[ln(R/Rref)]]+Tabela2[[#This Row],[C1-C1]]*Tabela2[[#This Row],[ln²(R/Rref)]]))-273.15</f>
        <v>33.129516947853006</v>
      </c>
      <c r="O9" s="2">
        <v>3.3540990000000001E-3</v>
      </c>
      <c r="P9" s="2">
        <v>2.6192259999999998E-4</v>
      </c>
      <c r="Q9" s="2">
        <f t="shared" si="0"/>
        <v>-1.58436E-6</v>
      </c>
      <c r="R9" s="2">
        <f t="shared" si="1"/>
        <v>-2.0944659999999999E-6</v>
      </c>
      <c r="S9" s="4">
        <f>(1/(Tabela2[[#This Row],[A1_C2]]+Tabela2[[#This Row],[B1_C2]]*Tabela2[[#This Row],[ln(R/Rref)]]+Tabela2[[#This Row],[C1_C2]]*Tabela2[[#This Row],[ln²(R/Rref)]]+Tabela2[[#This Row],[D1_C2]]*Tabela2[[#This Row],[ln³(R/Rref)]]))-273.15</f>
        <v>32.212943156498</v>
      </c>
      <c r="T9" s="4">
        <v>3.3440885E-3</v>
      </c>
      <c r="U9" s="4">
        <v>2.3892993E-4</v>
      </c>
      <c r="V9" s="4">
        <f t="shared" si="2"/>
        <v>-1.3030307E-5</v>
      </c>
      <c r="W9" s="4">
        <f>(1/(Tabela2[[#This Row],[A1-C3]]+Tabela2[[#This Row],[B1-C3]]*Tabela2[[#This Row],[ln(R/Rref)]]+Tabela2[[#This Row],[C1-C3]]*Tabela2[[#This Row],[ln²(R/Rref)]]))-273.15</f>
        <v>32.601457066800549</v>
      </c>
      <c r="X9" s="4">
        <v>3.3607340000000002E-3</v>
      </c>
      <c r="Y9" s="4">
        <v>3.5349200000000001E-4</v>
      </c>
      <c r="Z9" s="4">
        <v>2.301034E-4</v>
      </c>
      <c r="AA9" s="4">
        <v>1.6171649999999999E-4</v>
      </c>
      <c r="AB9" s="4">
        <f>(1/(Tabela2[[#This Row],[A1-C4]]+Tabela2[[#This Row],[B1-C4]]*Tabela2[[#This Row],[ln(R/Rref)]]+Tabela2[[#This Row],[C1-C4]]*Tabela2[[#This Row],[ln²(R/Rref)]]+Tabela2[[#This Row],[D1-C4]]*Tabela2[[#This Row],[ln³(R/Rref)]]))-273.15</f>
        <v>32.623631460048557</v>
      </c>
    </row>
    <row r="10" spans="1:28" x14ac:dyDescent="0.25">
      <c r="A10" s="2">
        <v>32.799999999999997</v>
      </c>
      <c r="B10" s="2">
        <v>7300</v>
      </c>
      <c r="C10">
        <f>LN(Tabela2[[#This Row],[Resistência medida (ohm)]]/10000)</f>
        <v>-0.31471074483970024</v>
      </c>
      <c r="D10">
        <f>POWER(Tabela2[[#This Row],[ln(R/Rref)]],2)</f>
        <v>9.9042852917558918E-2</v>
      </c>
      <c r="E10">
        <f>POWER(Tabela2[[#This Row],[ln(R/Rref)]],3)</f>
        <v>-3.1169850012733844E-2</v>
      </c>
      <c r="F10">
        <v>3.354016E-3</v>
      </c>
      <c r="G10" s="2">
        <v>2.5698499999999999E-4</v>
      </c>
      <c r="H10" s="2">
        <v>2.6201309999999999E-6</v>
      </c>
      <c r="I10" s="2">
        <v>6.3830910000000002E-8</v>
      </c>
      <c r="J10" s="2">
        <f>(1/(Tabela2[[#This Row],[A1-D]]+Tabela2[[#This Row],[B1-D]]*Tabela2[[#This Row],[ln(R/Rref)]]+Tabela2[[#This Row],[C1-D]]*Tabela2[[#This Row],[ln²(R/Rref)]]+Tabela2[[#This Row],[D1_D]]*Tabela2[[#This Row],[ln³(R/Rref)]]))-273.15</f>
        <v>32.342986147459158</v>
      </c>
      <c r="K10" s="2">
        <v>3.3432562999999998E-3</v>
      </c>
      <c r="L10" s="2">
        <v>2.6025183000000002E-4</v>
      </c>
      <c r="M10" s="2">
        <v>4.92146E-6</v>
      </c>
      <c r="N10" s="2">
        <f>(1/(Tabela2[[#This Row],[A1-C1]]+Tabela2[[#This Row],[B1-C1]]*Tabela2[[#This Row],[ln(R/Rref)]]+Tabela2[[#This Row],[C1-C1]]*Tabela2[[#This Row],[ln²(R/Rref)]]))-273.15</f>
        <v>33.425459126837495</v>
      </c>
      <c r="O10" s="2">
        <v>3.3540990000000001E-3</v>
      </c>
      <c r="P10" s="2">
        <v>2.6192259999999998E-4</v>
      </c>
      <c r="Q10" s="2">
        <f t="shared" si="0"/>
        <v>-1.58436E-6</v>
      </c>
      <c r="R10" s="2">
        <f t="shared" si="1"/>
        <v>-2.0944659999999999E-6</v>
      </c>
      <c r="S10" s="4">
        <f>(1/(Tabela2[[#This Row],[A1_C2]]+Tabela2[[#This Row],[B1_C2]]*Tabela2[[#This Row],[ln(R/Rref)]]+Tabela2[[#This Row],[C1_C2]]*Tabela2[[#This Row],[ln²(R/Rref)]]+Tabela2[[#This Row],[D1_C2]]*Tabela2[[#This Row],[ln³(R/Rref)]]))-273.15</f>
        <v>32.512940131460141</v>
      </c>
      <c r="T10" s="4">
        <v>3.3440885E-3</v>
      </c>
      <c r="U10" s="4">
        <v>2.3892993E-4</v>
      </c>
      <c r="V10" s="4">
        <f t="shared" si="2"/>
        <v>-1.3030307E-5</v>
      </c>
      <c r="W10" s="4">
        <f>(1/(Tabela2[[#This Row],[A1-C3]]+Tabela2[[#This Row],[B1-C3]]*Tabela2[[#This Row],[ln(R/Rref)]]+Tabela2[[#This Row],[C1-C3]]*Tabela2[[#This Row],[ln²(R/Rref)]]))-273.15</f>
        <v>32.884624070144412</v>
      </c>
      <c r="X10" s="4">
        <v>3.3607340000000002E-3</v>
      </c>
      <c r="Y10" s="4">
        <v>3.5349200000000001E-4</v>
      </c>
      <c r="Z10" s="4">
        <v>2.301034E-4</v>
      </c>
      <c r="AA10" s="4">
        <v>1.6171649999999999E-4</v>
      </c>
      <c r="AB10" s="4">
        <f>(1/(Tabela2[[#This Row],[A1-C4]]+Tabela2[[#This Row],[B1-C4]]*Tabela2[[#This Row],[ln(R/Rref)]]+Tabela2[[#This Row],[C1-C4]]*Tabela2[[#This Row],[ln²(R/Rref)]]+Tabela2[[#This Row],[D1-C4]]*Tabela2[[#This Row],[ln³(R/Rref)]]))-273.15</f>
        <v>32.919134777868976</v>
      </c>
    </row>
    <row r="11" spans="1:28" x14ac:dyDescent="0.25">
      <c r="A11" s="2">
        <v>33.1</v>
      </c>
      <c r="B11" s="2">
        <v>7250</v>
      </c>
      <c r="C11">
        <f>LN(Tabela2[[#This Row],[Resistência medida (ohm)]]/10000)</f>
        <v>-0.32158362412746233</v>
      </c>
      <c r="D11">
        <f>POWER(Tabela2[[#This Row],[ln(R/Rref)]],2)</f>
        <v>0.10341602730695297</v>
      </c>
      <c r="E11">
        <f>POWER(Tabela2[[#This Row],[ln(R/Rref)]],3)</f>
        <v>-3.3256900854234543E-2</v>
      </c>
      <c r="F11">
        <v>3.354016E-3</v>
      </c>
      <c r="G11" s="2">
        <v>2.5698499999999999E-4</v>
      </c>
      <c r="H11" s="2">
        <v>2.6201309999999999E-6</v>
      </c>
      <c r="I11" s="2">
        <v>6.3830910000000002E-8</v>
      </c>
      <c r="J11" s="2">
        <f>(1/(Tabela2[[#This Row],[A1-D]]+Tabela2[[#This Row],[B1-D]]*Tabela2[[#This Row],[ln(R/Rref)]]+Tabela2[[#This Row],[C1-D]]*Tabela2[[#This Row],[ln²(R/Rref)]]+Tabela2[[#This Row],[D1_D]]*Tabela2[[#This Row],[ln³(R/Rref)]]))-273.15</f>
        <v>32.506851901949233</v>
      </c>
      <c r="K11" s="2">
        <v>3.3432562999999998E-3</v>
      </c>
      <c r="L11" s="2">
        <v>2.6025183000000002E-4</v>
      </c>
      <c r="M11" s="2">
        <v>4.92146E-6</v>
      </c>
      <c r="N11" s="2">
        <f>(1/(Tabela2[[#This Row],[A1-C1]]+Tabela2[[#This Row],[B1-C1]]*Tabela2[[#This Row],[ln(R/Rref)]]+Tabela2[[#This Row],[C1-C1]]*Tabela2[[#This Row],[ln²(R/Rref)]]))-273.15</f>
        <v>33.591641617030348</v>
      </c>
      <c r="O11" s="2">
        <v>3.3540990000000001E-3</v>
      </c>
      <c r="P11" s="2">
        <v>2.6192259999999998E-4</v>
      </c>
      <c r="Q11" s="2">
        <f t="shared" si="0"/>
        <v>-1.58436E-6</v>
      </c>
      <c r="R11" s="2">
        <f t="shared" si="1"/>
        <v>-2.0944659999999999E-6</v>
      </c>
      <c r="S11" s="4">
        <f>(1/(Tabela2[[#This Row],[A1_C2]]+Tabela2[[#This Row],[B1_C2]]*Tabela2[[#This Row],[ln(R/Rref)]]+Tabela2[[#This Row],[C1_C2]]*Tabela2[[#This Row],[ln²(R/Rref)]]+Tabela2[[#This Row],[D1_C2]]*Tabela2[[#This Row],[ln³(R/Rref)]]))-273.15</f>
        <v>32.681460803867651</v>
      </c>
      <c r="T11" s="4">
        <v>3.3440885E-3</v>
      </c>
      <c r="U11" s="4">
        <v>2.3892993E-4</v>
      </c>
      <c r="V11" s="4">
        <f t="shared" si="2"/>
        <v>-1.3030307E-5</v>
      </c>
      <c r="W11" s="4">
        <f>(1/(Tabela2[[#This Row],[A1-C3]]+Tabela2[[#This Row],[B1-C3]]*Tabela2[[#This Row],[ln(R/Rref)]]+Tabela2[[#This Row],[C1-C3]]*Tabela2[[#This Row],[ln²(R/Rref)]]))-273.15</f>
        <v>33.043841703099076</v>
      </c>
      <c r="X11" s="4">
        <v>3.3607340000000002E-3</v>
      </c>
      <c r="Y11" s="4">
        <v>3.5349200000000001E-4</v>
      </c>
      <c r="Z11" s="4">
        <v>2.301034E-4</v>
      </c>
      <c r="AA11" s="4">
        <v>1.6171649999999999E-4</v>
      </c>
      <c r="AB11" s="4">
        <f>(1/(Tabela2[[#This Row],[A1-C4]]+Tabela2[[#This Row],[B1-C4]]*Tabela2[[#This Row],[ln(R/Rref)]]+Tabela2[[#This Row],[C1-C4]]*Tabela2[[#This Row],[ln²(R/Rref)]]+Tabela2[[#This Row],[D1-C4]]*Tabela2[[#This Row],[ln³(R/Rref)]]))-273.15</f>
        <v>33.084166506728536</v>
      </c>
    </row>
    <row r="12" spans="1:28" x14ac:dyDescent="0.25">
      <c r="A12" s="2">
        <v>33.799999999999997</v>
      </c>
      <c r="B12" s="2">
        <v>7090</v>
      </c>
      <c r="C12">
        <f>LN(Tabela2[[#This Row],[Resistência medida (ohm)]]/10000)</f>
        <v>-0.34389975245000959</v>
      </c>
      <c r="D12">
        <f>POWER(Tabela2[[#This Row],[ln(R/Rref)]],2)</f>
        <v>0.11826703973517788</v>
      </c>
      <c r="E12">
        <f>POWER(Tabela2[[#This Row],[ln(R/Rref)]],3)</f>
        <v>-4.0672005687923118E-2</v>
      </c>
      <c r="F12">
        <v>3.354016E-3</v>
      </c>
      <c r="G12" s="2">
        <v>2.5698499999999999E-4</v>
      </c>
      <c r="H12" s="2">
        <v>2.6201309999999999E-6</v>
      </c>
      <c r="I12" s="2">
        <v>6.3830910000000002E-8</v>
      </c>
      <c r="J12" s="2">
        <f>(1/(Tabela2[[#This Row],[A1-D]]+Tabela2[[#This Row],[B1-D]]*Tabela2[[#This Row],[ln(R/Rref)]]+Tabela2[[#This Row],[C1-D]]*Tabela2[[#This Row],[ln²(R/Rref)]]+Tabela2[[#This Row],[D1_D]]*Tabela2[[#This Row],[ln³(R/Rref)]]))-273.15</f>
        <v>33.039979386762411</v>
      </c>
      <c r="K12" s="2">
        <v>3.3432562999999998E-3</v>
      </c>
      <c r="L12" s="2">
        <v>2.6025183000000002E-4</v>
      </c>
      <c r="M12" s="2">
        <v>4.92146E-6</v>
      </c>
      <c r="N12" s="2">
        <f>(1/(Tabela2[[#This Row],[A1-C1]]+Tabela2[[#This Row],[B1-C1]]*Tabela2[[#This Row],[ln(R/Rref)]]+Tabela2[[#This Row],[C1-C1]]*Tabela2[[#This Row],[ln²(R/Rref)]]))-273.15</f>
        <v>34.132175185953258</v>
      </c>
      <c r="O12" s="2">
        <v>3.3540990000000001E-3</v>
      </c>
      <c r="P12" s="2">
        <v>2.6192259999999998E-4</v>
      </c>
      <c r="Q12" s="2">
        <f t="shared" si="0"/>
        <v>-1.58436E-6</v>
      </c>
      <c r="R12" s="2">
        <f t="shared" si="1"/>
        <v>-2.0944659999999999E-6</v>
      </c>
      <c r="S12" s="4">
        <f>(1/(Tabela2[[#This Row],[A1_C2]]+Tabela2[[#This Row],[B1_C2]]*Tabela2[[#This Row],[ln(R/Rref)]]+Tabela2[[#This Row],[C1_C2]]*Tabela2[[#This Row],[ln²(R/Rref)]]+Tabela2[[#This Row],[D1_C2]]*Tabela2[[#This Row],[ln³(R/Rref)]]))-273.15</f>
        <v>33.229899577937374</v>
      </c>
      <c r="T12" s="4">
        <v>3.3440885E-3</v>
      </c>
      <c r="U12" s="4">
        <v>2.3892993E-4</v>
      </c>
      <c r="V12" s="4">
        <f t="shared" si="2"/>
        <v>-1.3030307E-5</v>
      </c>
      <c r="W12" s="4">
        <f>(1/(Tabela2[[#This Row],[A1-C3]]+Tabela2[[#This Row],[B1-C3]]*Tabela2[[#This Row],[ln(R/Rref)]]+Tabela2[[#This Row],[C1-C3]]*Tabela2[[#This Row],[ln²(R/Rref)]]))-273.15</f>
        <v>33.562761469058557</v>
      </c>
      <c r="X12" s="4">
        <v>3.3607340000000002E-3</v>
      </c>
      <c r="Y12" s="4">
        <v>3.5349200000000001E-4</v>
      </c>
      <c r="Z12" s="4">
        <v>2.301034E-4</v>
      </c>
      <c r="AA12" s="4">
        <v>1.6171649999999999E-4</v>
      </c>
      <c r="AB12" s="4">
        <f>(1/(Tabela2[[#This Row],[A1-C4]]+Tabela2[[#This Row],[B1-C4]]*Tabela2[[#This Row],[ln(R/Rref)]]+Tabela2[[#This Row],[C1-C4]]*Tabela2[[#This Row],[ln²(R/Rref)]]+Tabela2[[#This Row],[D1-C4]]*Tabela2[[#This Row],[ln³(R/Rref)]]))-273.15</f>
        <v>33.616862647665187</v>
      </c>
    </row>
    <row r="13" spans="1:28" x14ac:dyDescent="0.25">
      <c r="A13" s="2">
        <v>33.9</v>
      </c>
      <c r="B13" s="2">
        <v>6900</v>
      </c>
      <c r="C13">
        <f>LN(Tabela2[[#This Row],[Resistência medida (ohm)]]/10000)</f>
        <v>-0.37106368139083207</v>
      </c>
      <c r="D13">
        <f>POWER(Tabela2[[#This Row],[ln(R/Rref)]],2)</f>
        <v>0.13768825564731693</v>
      </c>
      <c r="E13">
        <f>POWER(Tabela2[[#This Row],[ln(R/Rref)]],3)</f>
        <v>-5.1091111024775447E-2</v>
      </c>
      <c r="F13">
        <v>3.354016E-3</v>
      </c>
      <c r="G13" s="2">
        <v>2.5698499999999999E-4</v>
      </c>
      <c r="H13" s="2">
        <v>2.6201309999999999E-6</v>
      </c>
      <c r="I13" s="2">
        <v>6.3830910000000002E-8</v>
      </c>
      <c r="J13" s="2">
        <f>(1/(Tabela2[[#This Row],[A1-D]]+Tabela2[[#This Row],[B1-D]]*Tabela2[[#This Row],[ln(R/Rref)]]+Tabela2[[#This Row],[C1-D]]*Tabela2[[#This Row],[ln²(R/Rref)]]+Tabela2[[#This Row],[D1_D]]*Tabela2[[#This Row],[ln³(R/Rref)]]))-273.15</f>
        <v>33.691111574519368</v>
      </c>
      <c r="K13" s="2">
        <v>3.3432562999999998E-3</v>
      </c>
      <c r="L13" s="2">
        <v>2.6025183000000002E-4</v>
      </c>
      <c r="M13" s="2">
        <v>4.92146E-6</v>
      </c>
      <c r="N13" s="2">
        <f>(1/(Tabela2[[#This Row],[A1-C1]]+Tabela2[[#This Row],[B1-C1]]*Tabela2[[#This Row],[ln(R/Rref)]]+Tabela2[[#This Row],[C1-C1]]*Tabela2[[#This Row],[ln²(R/Rref)]]))-273.15</f>
        <v>34.79207950217733</v>
      </c>
      <c r="O13" s="2">
        <v>3.3540990000000001E-3</v>
      </c>
      <c r="P13" s="2">
        <v>2.6192259999999998E-4</v>
      </c>
      <c r="Q13" s="2">
        <f t="shared" si="0"/>
        <v>-1.58436E-6</v>
      </c>
      <c r="R13" s="2">
        <f t="shared" si="1"/>
        <v>-2.0944659999999999E-6</v>
      </c>
      <c r="S13" s="4">
        <f>(1/(Tabela2[[#This Row],[A1_C2]]+Tabela2[[#This Row],[B1_C2]]*Tabela2[[#This Row],[ln(R/Rref)]]+Tabela2[[#This Row],[C1_C2]]*Tabela2[[#This Row],[ln²(R/Rref)]]+Tabela2[[#This Row],[D1_C2]]*Tabela2[[#This Row],[ln³(R/Rref)]]))-273.15</f>
        <v>33.900063202661329</v>
      </c>
      <c r="T13" s="4">
        <v>3.3440885E-3</v>
      </c>
      <c r="U13" s="4">
        <v>2.3892993E-4</v>
      </c>
      <c r="V13" s="4">
        <f t="shared" si="2"/>
        <v>-1.3030307E-5</v>
      </c>
      <c r="W13" s="4">
        <f>(1/(Tabela2[[#This Row],[A1-C3]]+Tabela2[[#This Row],[B1-C3]]*Tabela2[[#This Row],[ln(R/Rref)]]+Tabela2[[#This Row],[C1-C3]]*Tabela2[[#This Row],[ln²(R/Rref)]]))-273.15</f>
        <v>34.198440550895384</v>
      </c>
      <c r="X13" s="4">
        <v>3.3607340000000002E-3</v>
      </c>
      <c r="Y13" s="4">
        <v>3.5349200000000001E-4</v>
      </c>
      <c r="Z13" s="4">
        <v>2.301034E-4</v>
      </c>
      <c r="AA13" s="4">
        <v>1.6171649999999999E-4</v>
      </c>
      <c r="AB13" s="4">
        <f>(1/(Tabela2[[#This Row],[A1-C4]]+Tabela2[[#This Row],[B1-C4]]*Tabela2[[#This Row],[ln(R/Rref)]]+Tabela2[[#This Row],[C1-C4]]*Tabela2[[#This Row],[ln²(R/Rref)]]+Tabela2[[#This Row],[D1-C4]]*Tabela2[[#This Row],[ln³(R/Rref)]]))-273.15</f>
        <v>34.2598484335183</v>
      </c>
    </row>
    <row r="14" spans="1:28" x14ac:dyDescent="0.25">
      <c r="A14" s="2">
        <v>34.4</v>
      </c>
      <c r="B14" s="2">
        <v>6850</v>
      </c>
      <c r="C14">
        <f>LN(Tabela2[[#This Row],[Resistência medida (ohm)]]/10000)</f>
        <v>-0.37833644071991168</v>
      </c>
      <c r="D14">
        <f>POWER(Tabela2[[#This Row],[ln(R/Rref)]],2)</f>
        <v>0.14313846237661124</v>
      </c>
      <c r="E14">
        <f>POWER(Tabela2[[#This Row],[ln(R/Rref)]],3)</f>
        <v>-5.4154496385688089E-2</v>
      </c>
      <c r="F14">
        <v>3.354016E-3</v>
      </c>
      <c r="G14" s="2">
        <v>2.5698499999999999E-4</v>
      </c>
      <c r="H14" s="2">
        <v>2.6201309999999999E-6</v>
      </c>
      <c r="I14" s="2">
        <v>6.3830910000000002E-8</v>
      </c>
      <c r="J14" s="2">
        <f>(1/(Tabela2[[#This Row],[A1-D]]+Tabela2[[#This Row],[B1-D]]*Tabela2[[#This Row],[ln(R/Rref)]]+Tabela2[[#This Row],[C1-D]]*Tabela2[[#This Row],[ln²(R/Rref)]]+Tabela2[[#This Row],[D1_D]]*Tabela2[[#This Row],[ln³(R/Rref)]]))-273.15</f>
        <v>33.865853090845349</v>
      </c>
      <c r="K14" s="2">
        <v>3.3432562999999998E-3</v>
      </c>
      <c r="L14" s="2">
        <v>2.6025183000000002E-4</v>
      </c>
      <c r="M14" s="2">
        <v>4.92146E-6</v>
      </c>
      <c r="N14" s="2">
        <f>(1/(Tabela2[[#This Row],[A1-C1]]+Tabela2[[#This Row],[B1-C1]]*Tabela2[[#This Row],[ln(R/Rref)]]+Tabela2[[#This Row],[C1-C1]]*Tabela2[[#This Row],[ln²(R/Rref)]]))-273.15</f>
        <v>34.969123862527852</v>
      </c>
      <c r="O14" s="2">
        <v>3.3540990000000001E-3</v>
      </c>
      <c r="P14" s="2">
        <v>2.6192259999999998E-4</v>
      </c>
      <c r="Q14" s="2">
        <f t="shared" si="0"/>
        <v>-1.58436E-6</v>
      </c>
      <c r="R14" s="2">
        <f t="shared" si="1"/>
        <v>-2.0944659999999999E-6</v>
      </c>
      <c r="S14" s="4">
        <f>(1/(Tabela2[[#This Row],[A1_C2]]+Tabela2[[#This Row],[B1_C2]]*Tabela2[[#This Row],[ln(R/Rref)]]+Tabela2[[#This Row],[C1_C2]]*Tabela2[[#This Row],[ln²(R/Rref)]]+Tabela2[[#This Row],[D1_C2]]*Tabela2[[#This Row],[ln³(R/Rref)]]))-273.15</f>
        <v>34.079971236125857</v>
      </c>
      <c r="T14" s="4">
        <v>3.3440885E-3</v>
      </c>
      <c r="U14" s="4">
        <v>2.3892993E-4</v>
      </c>
      <c r="V14" s="4">
        <f t="shared" si="2"/>
        <v>-1.3030307E-5</v>
      </c>
      <c r="W14" s="4">
        <f>(1/(Tabela2[[#This Row],[A1-C3]]+Tabela2[[#This Row],[B1-C3]]*Tabela2[[#This Row],[ln(R/Rref)]]+Tabela2[[#This Row],[C1-C3]]*Tabela2[[#This Row],[ln²(R/Rref)]]))-273.15</f>
        <v>34.36939071277601</v>
      </c>
      <c r="X14" s="4">
        <v>3.3607340000000002E-3</v>
      </c>
      <c r="Y14" s="4">
        <v>3.5349200000000001E-4</v>
      </c>
      <c r="Z14" s="4">
        <v>2.301034E-4</v>
      </c>
      <c r="AA14" s="4">
        <v>1.6171649999999999E-4</v>
      </c>
      <c r="AB14" s="4">
        <f>(1/(Tabela2[[#This Row],[A1-C4]]+Tabela2[[#This Row],[B1-C4]]*Tabela2[[#This Row],[ln(R/Rref)]]+Tabela2[[#This Row],[C1-C4]]*Tabela2[[#This Row],[ln²(R/Rref)]]+Tabela2[[#This Row],[D1-C4]]*Tabela2[[#This Row],[ln³(R/Rref)]]))-273.15</f>
        <v>34.431193641054506</v>
      </c>
    </row>
    <row r="15" spans="1:28" x14ac:dyDescent="0.25">
      <c r="A15" s="2">
        <v>34.5</v>
      </c>
      <c r="B15" s="2">
        <v>6830</v>
      </c>
      <c r="C15">
        <f>LN(Tabela2[[#This Row],[Resistência medida (ohm)]]/10000)</f>
        <v>-0.38126041941134692</v>
      </c>
      <c r="D15">
        <f>POWER(Tabela2[[#This Row],[ln(R/Rref)]],2)</f>
        <v>0.14535950740971615</v>
      </c>
      <c r="E15">
        <f>POWER(Tabela2[[#This Row],[ln(R/Rref)]],3)</f>
        <v>-5.5419826760455169E-2</v>
      </c>
      <c r="F15">
        <v>3.354016E-3</v>
      </c>
      <c r="G15" s="2">
        <v>2.5698499999999999E-4</v>
      </c>
      <c r="H15" s="2">
        <v>2.6201309999999999E-6</v>
      </c>
      <c r="I15" s="2">
        <v>6.3830910000000002E-8</v>
      </c>
      <c r="J15" s="2">
        <f>(1/(Tabela2[[#This Row],[A1-D]]+Tabela2[[#This Row],[B1-D]]*Tabela2[[#This Row],[ln(R/Rref)]]+Tabela2[[#This Row],[C1-D]]*Tabela2[[#This Row],[ln²(R/Rref)]]+Tabela2[[#This Row],[D1_D]]*Tabela2[[#This Row],[ln³(R/Rref)]]))-273.15</f>
        <v>33.936156038710806</v>
      </c>
      <c r="K15" s="2">
        <v>3.3432562999999998E-3</v>
      </c>
      <c r="L15" s="2">
        <v>2.6025183000000002E-4</v>
      </c>
      <c r="M15" s="2">
        <v>4.92146E-6</v>
      </c>
      <c r="N15" s="2">
        <f>(1/(Tabela2[[#This Row],[A1-C1]]+Tabela2[[#This Row],[B1-C1]]*Tabela2[[#This Row],[ln(R/Rref)]]+Tabela2[[#This Row],[C1-C1]]*Tabela2[[#This Row],[ln²(R/Rref)]]))-273.15</f>
        <v>35.040347167713378</v>
      </c>
      <c r="O15" s="2">
        <v>3.3540990000000001E-3</v>
      </c>
      <c r="P15" s="2">
        <v>2.6192259999999998E-4</v>
      </c>
      <c r="Q15" s="2">
        <f t="shared" si="0"/>
        <v>-1.58436E-6</v>
      </c>
      <c r="R15" s="2">
        <f t="shared" si="1"/>
        <v>-2.0944659999999999E-6</v>
      </c>
      <c r="S15" s="4">
        <f>(1/(Tabela2[[#This Row],[A1_C2]]+Tabela2[[#This Row],[B1_C2]]*Tabela2[[#This Row],[ln(R/Rref)]]+Tabela2[[#This Row],[C1_C2]]*Tabela2[[#This Row],[ln²(R/Rref)]]+Tabela2[[#This Row],[D1_C2]]*Tabela2[[#This Row],[ln³(R/Rref)]]))-273.15</f>
        <v>34.152359641776229</v>
      </c>
      <c r="T15" s="4">
        <v>3.3440885E-3</v>
      </c>
      <c r="U15" s="4">
        <v>2.3892993E-4</v>
      </c>
      <c r="V15" s="4">
        <f t="shared" si="2"/>
        <v>-1.3030307E-5</v>
      </c>
      <c r="W15" s="4">
        <f>(1/(Tabela2[[#This Row],[A1-C3]]+Tabela2[[#This Row],[B1-C3]]*Tabela2[[#This Row],[ln(R/Rref)]]+Tabela2[[#This Row],[C1-C3]]*Tabela2[[#This Row],[ln²(R/Rref)]]))-273.15</f>
        <v>34.438210787198273</v>
      </c>
      <c r="X15" s="4">
        <v>3.3607340000000002E-3</v>
      </c>
      <c r="Y15" s="4">
        <v>3.5349200000000001E-4</v>
      </c>
      <c r="Z15" s="4">
        <v>2.301034E-4</v>
      </c>
      <c r="AA15" s="4">
        <v>1.6171649999999999E-4</v>
      </c>
      <c r="AB15" s="4">
        <f>(1/(Tabela2[[#This Row],[A1-C4]]+Tabela2[[#This Row],[B1-C4]]*Tabela2[[#This Row],[ln(R/Rref)]]+Tabela2[[#This Row],[C1-C4]]*Tabela2[[#This Row],[ln²(R/Rref)]]+Tabela2[[#This Row],[D1-C4]]*Tabela2[[#This Row],[ln³(R/Rref)]]))-273.15</f>
        <v>34.500002666184969</v>
      </c>
    </row>
    <row r="16" spans="1:28" x14ac:dyDescent="0.25">
      <c r="A16" s="2">
        <v>35</v>
      </c>
      <c r="B16" s="2">
        <v>6650</v>
      </c>
      <c r="C16">
        <f>LN(Tabela2[[#This Row],[Resistência medida (ohm)]]/10000)</f>
        <v>-0.40796823832628287</v>
      </c>
      <c r="D16">
        <f>POWER(Tabela2[[#This Row],[ln(R/Rref)]],2)</f>
        <v>0.16643808348305075</v>
      </c>
      <c r="E16">
        <f>POWER(Tabela2[[#This Row],[ln(R/Rref)]],3)</f>
        <v>-6.7901451708983013E-2</v>
      </c>
      <c r="F16">
        <v>3.354016E-3</v>
      </c>
      <c r="G16" s="2">
        <v>2.5698499999999999E-4</v>
      </c>
      <c r="H16" s="2">
        <v>2.6201309999999999E-6</v>
      </c>
      <c r="I16" s="2">
        <v>6.3830910000000002E-8</v>
      </c>
      <c r="J16" s="2">
        <f>(1/(Tabela2[[#This Row],[A1-D]]+Tabela2[[#This Row],[B1-D]]*Tabela2[[#This Row],[ln(R/Rref)]]+Tabela2[[#This Row],[C1-D]]*Tabela2[[#This Row],[ln²(R/Rref)]]+Tabela2[[#This Row],[D1_D]]*Tabela2[[#This Row],[ln³(R/Rref)]]))-273.15</f>
        <v>34.57961042529746</v>
      </c>
      <c r="K16" s="2">
        <v>3.3432562999999998E-3</v>
      </c>
      <c r="L16" s="2">
        <v>2.6025183000000002E-4</v>
      </c>
      <c r="M16" s="2">
        <v>4.92146E-6</v>
      </c>
      <c r="N16" s="2">
        <f>(1/(Tabela2[[#This Row],[A1-C1]]+Tabela2[[#This Row],[B1-C1]]*Tabela2[[#This Row],[ln(R/Rref)]]+Tabela2[[#This Row],[C1-C1]]*Tabela2[[#This Row],[ln²(R/Rref)]]))-273.15</f>
        <v>35.692061329571231</v>
      </c>
      <c r="O16" s="2">
        <v>3.3540990000000001E-3</v>
      </c>
      <c r="P16" s="2">
        <v>2.6192259999999998E-4</v>
      </c>
      <c r="Q16" s="2">
        <f t="shared" si="0"/>
        <v>-1.58436E-6</v>
      </c>
      <c r="R16" s="2">
        <f t="shared" si="1"/>
        <v>-2.0944659999999999E-6</v>
      </c>
      <c r="S16" s="4">
        <f>(1/(Tabela2[[#This Row],[A1_C2]]+Tabela2[[#This Row],[B1_C2]]*Tabela2[[#This Row],[ln(R/Rref)]]+Tabela2[[#This Row],[C1_C2]]*Tabela2[[#This Row],[ln²(R/Rref)]]+Tabela2[[#This Row],[D1_C2]]*Tabela2[[#This Row],[ln³(R/Rref)]]))-273.15</f>
        <v>34.815077787559062</v>
      </c>
      <c r="T16" s="4">
        <v>3.3440885E-3</v>
      </c>
      <c r="U16" s="4">
        <v>2.3892993E-4</v>
      </c>
      <c r="V16" s="4">
        <f t="shared" si="2"/>
        <v>-1.3030307E-5</v>
      </c>
      <c r="W16" s="4">
        <f>(1/(Tabela2[[#This Row],[A1-C3]]+Tabela2[[#This Row],[B1-C3]]*Tabela2[[#This Row],[ln(R/Rref)]]+Tabela2[[#This Row],[C1-C3]]*Tabela2[[#This Row],[ln²(R/Rref)]]))-273.15</f>
        <v>35.069226189177186</v>
      </c>
      <c r="X16" s="4">
        <v>3.3607340000000002E-3</v>
      </c>
      <c r="Y16" s="4">
        <v>3.5349200000000001E-4</v>
      </c>
      <c r="Z16" s="4">
        <v>2.301034E-4</v>
      </c>
      <c r="AA16" s="4">
        <v>1.6171649999999999E-4</v>
      </c>
      <c r="AB16" s="4">
        <f>(1/(Tabela2[[#This Row],[A1-C4]]+Tabela2[[#This Row],[B1-C4]]*Tabela2[[#This Row],[ln(R/Rref)]]+Tabela2[[#This Row],[C1-C4]]*Tabela2[[#This Row],[ln²(R/Rref)]]+Tabela2[[#This Row],[D1-C4]]*Tabela2[[#This Row],[ln³(R/Rref)]]))-273.15</f>
        <v>35.126831365586554</v>
      </c>
    </row>
    <row r="17" spans="1:28" x14ac:dyDescent="0.25">
      <c r="A17" s="2">
        <v>35.299999999999997</v>
      </c>
      <c r="B17" s="2">
        <v>6630</v>
      </c>
      <c r="C17">
        <f>LN(Tabela2[[#This Row],[Resistência medida (ohm)]]/10000)</f>
        <v>-0.41098028879627452</v>
      </c>
      <c r="D17">
        <f>POWER(Tabela2[[#This Row],[ln(R/Rref)]],2)</f>
        <v>0.16890479777906919</v>
      </c>
      <c r="E17">
        <f>POWER(Tabela2[[#This Row],[ln(R/Rref)]],3)</f>
        <v>-6.9416542570318207E-2</v>
      </c>
      <c r="F17">
        <v>3.354016E-3</v>
      </c>
      <c r="G17" s="2">
        <v>2.5698499999999999E-4</v>
      </c>
      <c r="H17" s="2">
        <v>2.6201309999999999E-6</v>
      </c>
      <c r="I17" s="2">
        <v>6.3830910000000002E-8</v>
      </c>
      <c r="J17" s="2">
        <f>(1/(Tabela2[[#This Row],[A1-D]]+Tabela2[[#This Row],[B1-D]]*Tabela2[[#This Row],[ln(R/Rref)]]+Tabela2[[#This Row],[C1-D]]*Tabela2[[#This Row],[ln²(R/Rref)]]+Tabela2[[#This Row],[D1_D]]*Tabela2[[#This Row],[ln³(R/Rref)]]))-273.15</f>
        <v>34.652325500305949</v>
      </c>
      <c r="K17" s="2">
        <v>3.3432562999999998E-3</v>
      </c>
      <c r="L17" s="2">
        <v>2.6025183000000002E-4</v>
      </c>
      <c r="M17" s="2">
        <v>4.92146E-6</v>
      </c>
      <c r="N17" s="2">
        <f>(1/(Tabela2[[#This Row],[A1-C1]]+Tabela2[[#This Row],[B1-C1]]*Tabela2[[#This Row],[ln(R/Rref)]]+Tabela2[[#This Row],[C1-C1]]*Tabela2[[#This Row],[ln²(R/Rref)]]))-273.15</f>
        <v>35.76569120545571</v>
      </c>
      <c r="O17" s="2">
        <v>3.3540990000000001E-3</v>
      </c>
      <c r="P17" s="2">
        <v>2.6192259999999998E-4</v>
      </c>
      <c r="Q17" s="2">
        <f t="shared" si="0"/>
        <v>-1.58436E-6</v>
      </c>
      <c r="R17" s="2">
        <f t="shared" si="1"/>
        <v>-2.0944659999999999E-6</v>
      </c>
      <c r="S17" s="4">
        <f>(1/(Tabela2[[#This Row],[A1_C2]]+Tabela2[[#This Row],[B1_C2]]*Tabela2[[#This Row],[ln(R/Rref)]]+Tabela2[[#This Row],[C1_C2]]*Tabela2[[#This Row],[ln²(R/Rref)]]+Tabela2[[#This Row],[D1_C2]]*Tabela2[[#This Row],[ln³(R/Rref)]]))-273.15</f>
        <v>34.889989225234501</v>
      </c>
      <c r="T17" s="4">
        <v>3.3440885E-3</v>
      </c>
      <c r="U17" s="4">
        <v>2.3892993E-4</v>
      </c>
      <c r="V17" s="4">
        <f t="shared" si="2"/>
        <v>-1.3030307E-5</v>
      </c>
      <c r="W17" s="4">
        <f>(1/(Tabela2[[#This Row],[A1-C3]]+Tabela2[[#This Row],[B1-C3]]*Tabela2[[#This Row],[ln(R/Rref)]]+Tabela2[[#This Row],[C1-C3]]*Tabela2[[#This Row],[ln²(R/Rref)]]))-273.15</f>
        <v>35.140664109846796</v>
      </c>
      <c r="X17" s="4">
        <v>3.3607340000000002E-3</v>
      </c>
      <c r="Y17" s="4">
        <v>3.5349200000000001E-4</v>
      </c>
      <c r="Z17" s="4">
        <v>2.301034E-4</v>
      </c>
      <c r="AA17" s="4">
        <v>1.6171649999999999E-4</v>
      </c>
      <c r="AB17" s="4">
        <f>(1/(Tabela2[[#This Row],[A1-C4]]+Tabela2[[#This Row],[B1-C4]]*Tabela2[[#This Row],[ln(R/Rref)]]+Tabela2[[#This Row],[C1-C4]]*Tabela2[[#This Row],[ln²(R/Rref)]]+Tabela2[[#This Row],[D1-C4]]*Tabela2[[#This Row],[ln³(R/Rref)]]))-273.15</f>
        <v>35.19737758872003</v>
      </c>
    </row>
    <row r="18" spans="1:28" x14ac:dyDescent="0.25">
      <c r="A18" s="2">
        <v>35.4</v>
      </c>
      <c r="B18" s="2">
        <v>6730</v>
      </c>
      <c r="C18">
        <f>LN(Tabela2[[#This Row],[Resistência medida (ohm)]]/10000)</f>
        <v>-0.39600994933740918</v>
      </c>
      <c r="D18">
        <f>POWER(Tabela2[[#This Row],[ln(R/Rref)]],2)</f>
        <v>0.1568238799742174</v>
      </c>
      <c r="E18">
        <f>POWER(Tabela2[[#This Row],[ln(R/Rref)]],3)</f>
        <v>-6.2103816763485774E-2</v>
      </c>
      <c r="F18">
        <v>3.354016E-3</v>
      </c>
      <c r="G18" s="2">
        <v>2.5698499999999999E-4</v>
      </c>
      <c r="H18" s="2">
        <v>2.6201309999999999E-6</v>
      </c>
      <c r="I18" s="2">
        <v>6.3830910000000002E-8</v>
      </c>
      <c r="J18" s="2">
        <f>(1/(Tabela2[[#This Row],[A1-D]]+Tabela2[[#This Row],[B1-D]]*Tabela2[[#This Row],[ln(R/Rref)]]+Tabela2[[#This Row],[C1-D]]*Tabela2[[#This Row],[ln²(R/Rref)]]+Tabela2[[#This Row],[D1_D]]*Tabela2[[#This Row],[ln³(R/Rref)]]))-273.15</f>
        <v>34.291216370363372</v>
      </c>
      <c r="K18" s="2">
        <v>3.3432562999999998E-3</v>
      </c>
      <c r="L18" s="2">
        <v>2.6025183000000002E-4</v>
      </c>
      <c r="M18" s="2">
        <v>4.92146E-6</v>
      </c>
      <c r="N18" s="2">
        <f>(1/(Tabela2[[#This Row],[A1-C1]]+Tabela2[[#This Row],[B1-C1]]*Tabela2[[#This Row],[ln(R/Rref)]]+Tabela2[[#This Row],[C1-C1]]*Tabela2[[#This Row],[ln²(R/Rref)]]))-273.15</f>
        <v>35.400001844242013</v>
      </c>
      <c r="O18" s="2">
        <v>3.3540990000000001E-3</v>
      </c>
      <c r="P18" s="2">
        <v>2.6192259999999998E-4</v>
      </c>
      <c r="Q18" s="2">
        <f t="shared" si="0"/>
        <v>-1.58436E-6</v>
      </c>
      <c r="R18" s="2">
        <f t="shared" si="1"/>
        <v>-2.0944659999999999E-6</v>
      </c>
      <c r="S18" s="4">
        <f>(1/(Tabela2[[#This Row],[A1_C2]]+Tabela2[[#This Row],[B1_C2]]*Tabela2[[#This Row],[ln(R/Rref)]]+Tabela2[[#This Row],[C1_C2]]*Tabela2[[#This Row],[ln²(R/Rref)]]+Tabela2[[#This Row],[D1_C2]]*Tabela2[[#This Row],[ln³(R/Rref)]]))-273.15</f>
        <v>34.518011074318622</v>
      </c>
      <c r="T18" s="4">
        <v>3.3440885E-3</v>
      </c>
      <c r="U18" s="4">
        <v>2.3892993E-4</v>
      </c>
      <c r="V18" s="4">
        <f t="shared" si="2"/>
        <v>-1.3030307E-5</v>
      </c>
      <c r="W18" s="4">
        <f>(1/(Tabela2[[#This Row],[A1-C3]]+Tabela2[[#This Row],[B1-C3]]*Tabela2[[#This Row],[ln(R/Rref)]]+Tabela2[[#This Row],[C1-C3]]*Tabela2[[#This Row],[ln²(R/Rref)]]))-273.15</f>
        <v>34.786154542351142</v>
      </c>
      <c r="X18" s="4">
        <v>3.3607340000000002E-3</v>
      </c>
      <c r="Y18" s="4">
        <v>3.5349200000000001E-4</v>
      </c>
      <c r="Z18" s="4">
        <v>2.301034E-4</v>
      </c>
      <c r="AA18" s="4">
        <v>1.6171649999999999E-4</v>
      </c>
      <c r="AB18" s="4">
        <f>(1/(Tabela2[[#This Row],[A1-C4]]+Tabela2[[#This Row],[B1-C4]]*Tabela2[[#This Row],[ln(R/Rref)]]+Tabela2[[#This Row],[C1-C4]]*Tabela2[[#This Row],[ln²(R/Rref)]]+Tabela2[[#This Row],[D1-C4]]*Tabela2[[#This Row],[ln³(R/Rref)]]))-273.15</f>
        <v>34.846499526385458</v>
      </c>
    </row>
    <row r="19" spans="1:28" x14ac:dyDescent="0.25">
      <c r="A19" s="2">
        <v>35.5</v>
      </c>
      <c r="B19" s="2">
        <v>6520</v>
      </c>
      <c r="C19">
        <f>LN(Tabela2[[#This Row],[Resistência medida (ohm)]]/10000)</f>
        <v>-0.42771071705548408</v>
      </c>
      <c r="D19">
        <f>POWER(Tabela2[[#This Row],[ln(R/Rref)]],2)</f>
        <v>0.18293645748411635</v>
      </c>
      <c r="E19">
        <f>POWER(Tabela2[[#This Row],[ln(R/Rref)]],3)</f>
        <v>-7.8243883406121484E-2</v>
      </c>
      <c r="F19">
        <v>3.354016E-3</v>
      </c>
      <c r="G19" s="2">
        <v>2.5698499999999999E-4</v>
      </c>
      <c r="H19" s="2">
        <v>2.6201309999999999E-6</v>
      </c>
      <c r="I19" s="2">
        <v>6.3830910000000002E-8</v>
      </c>
      <c r="J19" s="2">
        <f>(1/(Tabela2[[#This Row],[A1-D]]+Tabela2[[#This Row],[B1-D]]*Tabela2[[#This Row],[ln(R/Rref)]]+Tabela2[[#This Row],[C1-D]]*Tabela2[[#This Row],[ln²(R/Rref)]]+Tabela2[[#This Row],[D1_D]]*Tabela2[[#This Row],[ln³(R/Rref)]]))-273.15</f>
        <v>35.056767900856528</v>
      </c>
      <c r="K19" s="2">
        <v>3.3432562999999998E-3</v>
      </c>
      <c r="L19" s="2">
        <v>2.6025183000000002E-4</v>
      </c>
      <c r="M19" s="2">
        <v>4.92146E-6</v>
      </c>
      <c r="N19" s="2">
        <f>(1/(Tabela2[[#This Row],[A1-C1]]+Tabela2[[#This Row],[B1-C1]]*Tabela2[[#This Row],[ln(R/Rref)]]+Tabela2[[#This Row],[C1-C1]]*Tabela2[[#This Row],[ln²(R/Rref)]]))-273.15</f>
        <v>36.17515259410078</v>
      </c>
      <c r="O19" s="2">
        <v>3.3540990000000001E-3</v>
      </c>
      <c r="P19" s="2">
        <v>2.6192259999999998E-4</v>
      </c>
      <c r="Q19" s="2">
        <f t="shared" si="0"/>
        <v>-1.58436E-6</v>
      </c>
      <c r="R19" s="2">
        <f t="shared" si="1"/>
        <v>-2.0944659999999999E-6</v>
      </c>
      <c r="S19" s="4">
        <f>(1/(Tabela2[[#This Row],[A1_C2]]+Tabela2[[#This Row],[B1_C2]]*Tabela2[[#This Row],[ln(R/Rref)]]+Tabela2[[#This Row],[C1_C2]]*Tabela2[[#This Row],[ln²(R/Rref)]]+Tabela2[[#This Row],[D1_C2]]*Tabela2[[#This Row],[ln³(R/Rref)]]))-273.15</f>
        <v>35.306716691208123</v>
      </c>
      <c r="T19" s="4">
        <v>3.3440885E-3</v>
      </c>
      <c r="U19" s="4">
        <v>2.3892993E-4</v>
      </c>
      <c r="V19" s="4">
        <f t="shared" si="2"/>
        <v>-1.3030307E-5</v>
      </c>
      <c r="W19" s="4">
        <f>(1/(Tabela2[[#This Row],[A1-C3]]+Tabela2[[#This Row],[B1-C3]]*Tabela2[[#This Row],[ln(R/Rref)]]+Tabela2[[#This Row],[C1-C3]]*Tabela2[[#This Row],[ln²(R/Rref)]]))-273.15</f>
        <v>35.538479598598485</v>
      </c>
      <c r="X19" s="4">
        <v>3.3607340000000002E-3</v>
      </c>
      <c r="Y19" s="4">
        <v>3.5349200000000001E-4</v>
      </c>
      <c r="Z19" s="4">
        <v>2.301034E-4</v>
      </c>
      <c r="AA19" s="4">
        <v>1.6171649999999999E-4</v>
      </c>
      <c r="AB19" s="4">
        <f>(1/(Tabela2[[#This Row],[A1-C4]]+Tabela2[[#This Row],[B1-C4]]*Tabela2[[#This Row],[ln(R/Rref)]]+Tabela2[[#This Row],[C1-C4]]*Tabela2[[#This Row],[ln²(R/Rref)]]+Tabela2[[#This Row],[D1-C4]]*Tabela2[[#This Row],[ln³(R/Rref)]]))-273.15</f>
        <v>35.588917700599779</v>
      </c>
    </row>
    <row r="20" spans="1:28" x14ac:dyDescent="0.25">
      <c r="A20" s="2">
        <v>36.200000000000003</v>
      </c>
      <c r="B20" s="2">
        <v>6480</v>
      </c>
      <c r="C20">
        <f>LN(Tabela2[[#This Row],[Resistência medida (ohm)]]/10000)</f>
        <v>-0.43386458262986233</v>
      </c>
      <c r="D20">
        <f>POWER(Tabela2[[#This Row],[ln(R/Rref)]],2)</f>
        <v>0.18823847606058464</v>
      </c>
      <c r="E20">
        <f>POWER(Tabela2[[#This Row],[ln(R/Rref)]],3)</f>
        <v>-8.1670007850906889E-2</v>
      </c>
      <c r="F20">
        <v>3.354016E-3</v>
      </c>
      <c r="G20" s="2">
        <v>2.5698499999999999E-4</v>
      </c>
      <c r="H20" s="2">
        <v>2.6201309999999999E-6</v>
      </c>
      <c r="I20" s="2">
        <v>6.3830910000000002E-8</v>
      </c>
      <c r="J20" s="2">
        <f>(1/(Tabela2[[#This Row],[A1-D]]+Tabela2[[#This Row],[B1-D]]*Tabela2[[#This Row],[ln(R/Rref)]]+Tabela2[[#This Row],[C1-D]]*Tabela2[[#This Row],[ln²(R/Rref)]]+Tabela2[[#This Row],[D1_D]]*Tabela2[[#This Row],[ln³(R/Rref)]]))-273.15</f>
        <v>35.205765328087693</v>
      </c>
      <c r="K20" s="2">
        <v>3.3432562999999998E-3</v>
      </c>
      <c r="L20" s="2">
        <v>2.6025183000000002E-4</v>
      </c>
      <c r="M20" s="2">
        <v>4.92146E-6</v>
      </c>
      <c r="N20" s="2">
        <f>(1/(Tabela2[[#This Row],[A1-C1]]+Tabela2[[#This Row],[B1-C1]]*Tabela2[[#This Row],[ln(R/Rref)]]+Tabela2[[#This Row],[C1-C1]]*Tabela2[[#This Row],[ln²(R/Rref)]]))-273.15</f>
        <v>36.325969439897221</v>
      </c>
      <c r="O20" s="2">
        <v>3.3540990000000001E-3</v>
      </c>
      <c r="P20" s="2">
        <v>2.6192259999999998E-4</v>
      </c>
      <c r="Q20" s="2">
        <f t="shared" si="0"/>
        <v>-1.58436E-6</v>
      </c>
      <c r="R20" s="2">
        <f t="shared" si="1"/>
        <v>-2.0944659999999999E-6</v>
      </c>
      <c r="S20" s="4">
        <f>(1/(Tabela2[[#This Row],[A1_C2]]+Tabela2[[#This Row],[B1_C2]]*Tabela2[[#This Row],[ln(R/Rref)]]+Tabela2[[#This Row],[C1_C2]]*Tabela2[[#This Row],[ln²(R/Rref)]]+Tabela2[[#This Row],[D1_C2]]*Tabela2[[#This Row],[ln³(R/Rref)]]))-273.15</f>
        <v>35.460268650359353</v>
      </c>
      <c r="T20" s="4">
        <v>3.3440885E-3</v>
      </c>
      <c r="U20" s="4">
        <v>2.3892993E-4</v>
      </c>
      <c r="V20" s="4">
        <f t="shared" si="2"/>
        <v>-1.3030307E-5</v>
      </c>
      <c r="W20" s="4">
        <f>(1/(Tabela2[[#This Row],[A1-C3]]+Tabela2[[#This Row],[B1-C3]]*Tabela2[[#This Row],[ln(R/Rref)]]+Tabela2[[#This Row],[C1-C3]]*Tabela2[[#This Row],[ln²(R/Rref)]]))-273.15</f>
        <v>35.685239396181885</v>
      </c>
      <c r="X20" s="4">
        <v>3.3607340000000002E-3</v>
      </c>
      <c r="Y20" s="4">
        <v>3.5349200000000001E-4</v>
      </c>
      <c r="Z20" s="4">
        <v>2.301034E-4</v>
      </c>
      <c r="AA20" s="4">
        <v>1.6171649999999999E-4</v>
      </c>
      <c r="AB20" s="4">
        <f>(1/(Tabela2[[#This Row],[A1-C4]]+Tabela2[[#This Row],[B1-C4]]*Tabela2[[#This Row],[ln(R/Rref)]]+Tabela2[[#This Row],[C1-C4]]*Tabela2[[#This Row],[ln²(R/Rref)]]+Tabela2[[#This Row],[D1-C4]]*Tabela2[[#This Row],[ln³(R/Rref)]]))-273.15</f>
        <v>35.732859467069147</v>
      </c>
    </row>
    <row r="21" spans="1:28" x14ac:dyDescent="0.25">
      <c r="A21" s="2">
        <v>36.6</v>
      </c>
      <c r="B21" s="2">
        <v>6240</v>
      </c>
      <c r="C21">
        <f>LN(Tabela2[[#This Row],[Resistência medida (ohm)]]/10000)</f>
        <v>-0.47160491061270937</v>
      </c>
      <c r="D21">
        <f>POWER(Tabela2[[#This Row],[ln(R/Rref)]],2)</f>
        <v>0.2224111917140216</v>
      </c>
      <c r="E21">
        <f>POWER(Tabela2[[#This Row],[ln(R/Rref)]],3)</f>
        <v>-0.10489021018755733</v>
      </c>
      <c r="F21">
        <v>3.354016E-3</v>
      </c>
      <c r="G21" s="2">
        <v>2.5698499999999999E-4</v>
      </c>
      <c r="H21" s="2">
        <v>2.6201309999999999E-6</v>
      </c>
      <c r="I21" s="2">
        <v>6.3830910000000002E-8</v>
      </c>
      <c r="J21" s="2">
        <f>(1/(Tabela2[[#This Row],[A1-D]]+Tabela2[[#This Row],[B1-D]]*Tabela2[[#This Row],[ln(R/Rref)]]+Tabela2[[#This Row],[C1-D]]*Tabela2[[#This Row],[ln²(R/Rref)]]+Tabela2[[#This Row],[D1_D]]*Tabela2[[#This Row],[ln³(R/Rref)]]))-273.15</f>
        <v>36.122292929774517</v>
      </c>
      <c r="K21" s="2">
        <v>3.3432562999999998E-3</v>
      </c>
      <c r="L21" s="2">
        <v>2.6025183000000002E-4</v>
      </c>
      <c r="M21" s="2">
        <v>4.92146E-6</v>
      </c>
      <c r="N21" s="2">
        <f>(1/(Tabela2[[#This Row],[A1-C1]]+Tabela2[[#This Row],[B1-C1]]*Tabela2[[#This Row],[ln(R/Rref)]]+Tabela2[[#This Row],[C1-C1]]*Tabela2[[#This Row],[ln²(R/Rref)]]))-273.15</f>
        <v>37.253337321909271</v>
      </c>
      <c r="O21" s="2">
        <v>3.3540990000000001E-3</v>
      </c>
      <c r="P21" s="2">
        <v>2.6192259999999998E-4</v>
      </c>
      <c r="Q21" s="2">
        <f t="shared" si="0"/>
        <v>-1.58436E-6</v>
      </c>
      <c r="R21" s="2">
        <f t="shared" si="1"/>
        <v>-2.0944659999999999E-6</v>
      </c>
      <c r="S21" s="4">
        <f>(1/(Tabela2[[#This Row],[A1_C2]]+Tabela2[[#This Row],[B1_C2]]*Tabela2[[#This Row],[ln(R/Rref)]]+Tabela2[[#This Row],[C1_C2]]*Tabela2[[#This Row],[ln²(R/Rref)]]+Tabela2[[#This Row],[D1_C2]]*Tabela2[[#This Row],[ln³(R/Rref)]]))-273.15</f>
        <v>36.405131875330881</v>
      </c>
      <c r="T21" s="4">
        <v>3.3440885E-3</v>
      </c>
      <c r="U21" s="4">
        <v>2.3892993E-4</v>
      </c>
      <c r="V21" s="4">
        <f t="shared" si="2"/>
        <v>-1.3030307E-5</v>
      </c>
      <c r="W21" s="4">
        <f>(1/(Tabela2[[#This Row],[A1-C3]]+Tabela2[[#This Row],[B1-C3]]*Tabela2[[#This Row],[ln(R/Rref)]]+Tabela2[[#This Row],[C1-C3]]*Tabela2[[#This Row],[ln²(R/Rref)]]))-273.15</f>
        <v>36.590417539601617</v>
      </c>
      <c r="X21" s="4">
        <v>3.3607340000000002E-3</v>
      </c>
      <c r="Y21" s="4">
        <v>3.5349200000000001E-4</v>
      </c>
      <c r="Z21" s="4">
        <v>2.301034E-4</v>
      </c>
      <c r="AA21" s="4">
        <v>1.6171649999999999E-4</v>
      </c>
      <c r="AB21" s="4">
        <f>(1/(Tabela2[[#This Row],[A1-C4]]+Tabela2[[#This Row],[B1-C4]]*Tabela2[[#This Row],[ln(R/Rref)]]+Tabela2[[#This Row],[C1-C4]]*Tabela2[[#This Row],[ln²(R/Rref)]]+Tabela2[[#This Row],[D1-C4]]*Tabela2[[#This Row],[ln³(R/Rref)]]))-273.15</f>
        <v>36.616261373163809</v>
      </c>
    </row>
    <row r="22" spans="1:28" x14ac:dyDescent="0.25">
      <c r="A22" s="2">
        <v>36.9</v>
      </c>
      <c r="B22" s="2">
        <v>6220</v>
      </c>
      <c r="C22">
        <f>LN(Tabela2[[#This Row],[Resistência medida (ohm)]]/10000)</f>
        <v>-0.4748151862429576</v>
      </c>
      <c r="D22">
        <f>POWER(Tabela2[[#This Row],[ln(R/Rref)]],2)</f>
        <v>0.22544946108693451</v>
      </c>
      <c r="E22">
        <f>POWER(Tabela2[[#This Row],[ln(R/Rref)]],3)</f>
        <v>-0.10704682785436723</v>
      </c>
      <c r="F22">
        <v>3.354016E-3</v>
      </c>
      <c r="G22" s="2">
        <v>2.5698499999999999E-4</v>
      </c>
      <c r="H22" s="2">
        <v>2.6201309999999999E-6</v>
      </c>
      <c r="I22" s="2">
        <v>6.3830910000000002E-8</v>
      </c>
      <c r="J22" s="2">
        <f>(1/(Tabela2[[#This Row],[A1-D]]+Tabela2[[#This Row],[B1-D]]*Tabela2[[#This Row],[ln(R/Rref)]]+Tabela2[[#This Row],[C1-D]]*Tabela2[[#This Row],[ln²(R/Rref)]]+Tabela2[[#This Row],[D1_D]]*Tabela2[[#This Row],[ln³(R/Rref)]]))-273.15</f>
        <v>36.200474437919752</v>
      </c>
      <c r="K22" s="2">
        <v>3.3432562999999998E-3</v>
      </c>
      <c r="L22" s="2">
        <v>2.6025183000000002E-4</v>
      </c>
      <c r="M22" s="2">
        <v>4.92146E-6</v>
      </c>
      <c r="N22" s="2">
        <f>(1/(Tabela2[[#This Row],[A1-C1]]+Tabela2[[#This Row],[B1-C1]]*Tabela2[[#This Row],[ln(R/Rref)]]+Tabela2[[#This Row],[C1-C1]]*Tabela2[[#This Row],[ln²(R/Rref)]]))-273.15</f>
        <v>37.332415466566658</v>
      </c>
      <c r="O22" s="2">
        <v>3.3540990000000001E-3</v>
      </c>
      <c r="P22" s="2">
        <v>2.6192259999999998E-4</v>
      </c>
      <c r="Q22" s="2">
        <f t="shared" si="0"/>
        <v>-1.58436E-6</v>
      </c>
      <c r="R22" s="2">
        <f t="shared" si="1"/>
        <v>-2.0944659999999999E-6</v>
      </c>
      <c r="S22" s="4">
        <f>(1/(Tabela2[[#This Row],[A1_C2]]+Tabela2[[#This Row],[B1_C2]]*Tabela2[[#This Row],[ln(R/Rref)]]+Tabela2[[#This Row],[C1_C2]]*Tabela2[[#This Row],[ln²(R/Rref)]]+Tabela2[[#This Row],[D1_C2]]*Tabela2[[#This Row],[ln³(R/Rref)]]))-273.15</f>
        <v>36.485754633490728</v>
      </c>
      <c r="T22" s="4">
        <v>3.3440885E-3</v>
      </c>
      <c r="U22" s="4">
        <v>2.3892993E-4</v>
      </c>
      <c r="V22" s="4">
        <f t="shared" si="2"/>
        <v>-1.3030307E-5</v>
      </c>
      <c r="W22" s="4">
        <f>(1/(Tabela2[[#This Row],[A1-C3]]+Tabela2[[#This Row],[B1-C3]]*Tabela2[[#This Row],[ln(R/Rref)]]+Tabela2[[#This Row],[C1-C3]]*Tabela2[[#This Row],[ln²(R/Rref)]]))-273.15</f>
        <v>36.6678233462614</v>
      </c>
      <c r="X22" s="4">
        <v>3.3607340000000002E-3</v>
      </c>
      <c r="Y22" s="4">
        <v>3.5349200000000001E-4</v>
      </c>
      <c r="Z22" s="4">
        <v>2.301034E-4</v>
      </c>
      <c r="AA22" s="4">
        <v>1.6171649999999999E-4</v>
      </c>
      <c r="AB22" s="4">
        <f>(1/(Tabela2[[#This Row],[A1-C4]]+Tabela2[[#This Row],[B1-C4]]*Tabela2[[#This Row],[ln(R/Rref)]]+Tabela2[[#This Row],[C1-C4]]*Tabela2[[#This Row],[ln²(R/Rref)]]+Tabela2[[#This Row],[D1-C4]]*Tabela2[[#This Row],[ln³(R/Rref)]]))-273.15</f>
        <v>36.691551800305092</v>
      </c>
    </row>
    <row r="23" spans="1:28" x14ac:dyDescent="0.25">
      <c r="A23" s="2">
        <v>37.5</v>
      </c>
      <c r="B23" s="2">
        <v>6010</v>
      </c>
      <c r="C23">
        <f>LN(Tabela2[[#This Row],[Resistência medida (ohm)]]/10000)</f>
        <v>-0.50916034444692948</v>
      </c>
      <c r="D23">
        <f>POWER(Tabela2[[#This Row],[ln(R/Rref)]],2)</f>
        <v>0.25924425635731585</v>
      </c>
      <c r="E23">
        <f>POWER(Tabela2[[#This Row],[ln(R/Rref)]],3)</f>
        <v>-0.13199689486277902</v>
      </c>
      <c r="F23">
        <v>3.354016E-3</v>
      </c>
      <c r="G23" s="2">
        <v>2.5698499999999999E-4</v>
      </c>
      <c r="H23" s="2">
        <v>2.6201309999999999E-6</v>
      </c>
      <c r="I23" s="2">
        <v>6.3830910000000002E-8</v>
      </c>
      <c r="J23" s="2">
        <f>(1/(Tabela2[[#This Row],[A1-D]]+Tabela2[[#This Row],[B1-D]]*Tabela2[[#This Row],[ln(R/Rref)]]+Tabela2[[#This Row],[C1-D]]*Tabela2[[#This Row],[ln²(R/Rref)]]+Tabela2[[#This Row],[D1_D]]*Tabela2[[#This Row],[ln³(R/Rref)]]))-273.15</f>
        <v>37.039066512081035</v>
      </c>
      <c r="K23" s="2">
        <v>3.3432562999999998E-3</v>
      </c>
      <c r="L23" s="2">
        <v>2.6025183000000002E-4</v>
      </c>
      <c r="M23" s="2">
        <v>4.92146E-6</v>
      </c>
      <c r="N23" s="2">
        <f>(1/(Tabela2[[#This Row],[A1-C1]]+Tabela2[[#This Row],[B1-C1]]*Tabela2[[#This Row],[ln(R/Rref)]]+Tabela2[[#This Row],[C1-C1]]*Tabela2[[#This Row],[ln²(R/Rref)]]))-273.15</f>
        <v>38.180346595073445</v>
      </c>
      <c r="O23" s="2">
        <v>3.3540990000000001E-3</v>
      </c>
      <c r="P23" s="2">
        <v>2.6192259999999998E-4</v>
      </c>
      <c r="Q23" s="2">
        <f t="shared" si="0"/>
        <v>-1.58436E-6</v>
      </c>
      <c r="R23" s="2">
        <f t="shared" si="1"/>
        <v>-2.0944659999999999E-6</v>
      </c>
      <c r="S23" s="4">
        <f>(1/(Tabela2[[#This Row],[A1_C2]]+Tabela2[[#This Row],[B1_C2]]*Tabela2[[#This Row],[ln(R/Rref)]]+Tabela2[[#This Row],[C1_C2]]*Tabela2[[#This Row],[ln²(R/Rref)]]+Tabela2[[#This Row],[D1_C2]]*Tabela2[[#This Row],[ln³(R/Rref)]]))-273.15</f>
        <v>37.350751107092606</v>
      </c>
      <c r="T23" s="4">
        <v>3.3440885E-3</v>
      </c>
      <c r="U23" s="4">
        <v>2.3892993E-4</v>
      </c>
      <c r="V23" s="4">
        <f t="shared" si="2"/>
        <v>-1.3030307E-5</v>
      </c>
      <c r="W23" s="4">
        <f>(1/(Tabela2[[#This Row],[A1-C3]]+Tabela2[[#This Row],[B1-C3]]*Tabela2[[#This Row],[ln(R/Rref)]]+Tabela2[[#This Row],[C1-C3]]*Tabela2[[#This Row],[ln²(R/Rref)]]))-273.15</f>
        <v>37.499999426635725</v>
      </c>
      <c r="X23" s="4">
        <v>3.3607340000000002E-3</v>
      </c>
      <c r="Y23" s="4">
        <v>3.5349200000000001E-4</v>
      </c>
      <c r="Z23" s="4">
        <v>2.301034E-4</v>
      </c>
      <c r="AA23" s="4">
        <v>1.6171649999999999E-4</v>
      </c>
      <c r="AB23" s="4">
        <f>(1/(Tabela2[[#This Row],[A1-C4]]+Tabela2[[#This Row],[B1-C4]]*Tabela2[[#This Row],[ln(R/Rref)]]+Tabela2[[#This Row],[C1-C4]]*Tabela2[[#This Row],[ln²(R/Rref)]]+Tabela2[[#This Row],[D1-C4]]*Tabela2[[#This Row],[ln³(R/Rref)]]))-273.15</f>
        <v>37.500001530720795</v>
      </c>
    </row>
    <row r="24" spans="1:28" x14ac:dyDescent="0.25">
      <c r="A24" s="2">
        <v>37.799999999999997</v>
      </c>
      <c r="B24" s="2">
        <v>5960</v>
      </c>
      <c r="C24">
        <f>LN(Tabela2[[#This Row],[Resistência medida (ohm)]]/10000)</f>
        <v>-0.51751461191678738</v>
      </c>
      <c r="D24">
        <f>POWER(Tabela2[[#This Row],[ln(R/Rref)]],2)</f>
        <v>0.26782137354738306</v>
      </c>
      <c r="E24">
        <f>POWER(Tabela2[[#This Row],[ln(R/Rref)]],3)</f>
        <v>-0.13860147419439489</v>
      </c>
      <c r="F24">
        <v>3.354016E-3</v>
      </c>
      <c r="G24" s="2">
        <v>2.5698499999999999E-4</v>
      </c>
      <c r="H24" s="2">
        <v>2.6201309999999999E-6</v>
      </c>
      <c r="I24" s="2">
        <v>6.3830910000000002E-8</v>
      </c>
      <c r="J24" s="2">
        <f>(1/(Tabela2[[#This Row],[A1-D]]+Tabela2[[#This Row],[B1-D]]*Tabela2[[#This Row],[ln(R/Rref)]]+Tabela2[[#This Row],[C1-D]]*Tabela2[[#This Row],[ln²(R/Rref)]]+Tabela2[[#This Row],[D1_D]]*Tabela2[[#This Row],[ln³(R/Rref)]]))-273.15</f>
        <v>37.243650502344678</v>
      </c>
      <c r="K24" s="2">
        <v>3.3432562999999998E-3</v>
      </c>
      <c r="L24" s="2">
        <v>2.6025183000000002E-4</v>
      </c>
      <c r="M24" s="2">
        <v>4.92146E-6</v>
      </c>
      <c r="N24" s="2">
        <f>(1/(Tabela2[[#This Row],[A1-C1]]+Tabela2[[#This Row],[B1-C1]]*Tabela2[[#This Row],[ln(R/Rref)]]+Tabela2[[#This Row],[C1-C1]]*Tabela2[[#This Row],[ln²(R/Rref)]]))-273.15</f>
        <v>38.387131469870212</v>
      </c>
      <c r="O24" s="2">
        <v>3.3540990000000001E-3</v>
      </c>
      <c r="P24" s="2">
        <v>2.6192259999999998E-4</v>
      </c>
      <c r="Q24" s="2">
        <f t="shared" si="0"/>
        <v>-1.58436E-6</v>
      </c>
      <c r="R24" s="2">
        <f t="shared" si="1"/>
        <v>-2.0944659999999999E-6</v>
      </c>
      <c r="S24" s="4">
        <f>(1/(Tabela2[[#This Row],[A1_C2]]+Tabela2[[#This Row],[B1_C2]]*Tabela2[[#This Row],[ln(R/Rref)]]+Tabela2[[#This Row],[C1_C2]]*Tabela2[[#This Row],[ln²(R/Rref)]]+Tabela2[[#This Row],[D1_C2]]*Tabela2[[#This Row],[ln³(R/Rref)]]))-273.15</f>
        <v>37.561834177498099</v>
      </c>
      <c r="T24" s="4">
        <v>3.3440885E-3</v>
      </c>
      <c r="U24" s="4">
        <v>2.3892993E-4</v>
      </c>
      <c r="V24" s="4">
        <f t="shared" si="2"/>
        <v>-1.3030307E-5</v>
      </c>
      <c r="W24" s="4">
        <f>(1/(Tabela2[[#This Row],[A1-C3]]+Tabela2[[#This Row],[B1-C3]]*Tabela2[[#This Row],[ln(R/Rref)]]+Tabela2[[#This Row],[C1-C3]]*Tabela2[[#This Row],[ln²(R/Rref)]]))-273.15</f>
        <v>37.70354716024309</v>
      </c>
      <c r="X24" s="4">
        <v>3.3607340000000002E-3</v>
      </c>
      <c r="Y24" s="4">
        <v>3.5349200000000001E-4</v>
      </c>
      <c r="Z24" s="4">
        <v>2.301034E-4</v>
      </c>
      <c r="AA24" s="4">
        <v>1.6171649999999999E-4</v>
      </c>
      <c r="AB24" s="4">
        <f>(1/(Tabela2[[#This Row],[A1-C4]]+Tabela2[[#This Row],[B1-C4]]*Tabela2[[#This Row],[ln(R/Rref)]]+Tabela2[[#This Row],[C1-C4]]*Tabela2[[#This Row],[ln²(R/Rref)]]+Tabela2[[#This Row],[D1-C4]]*Tabela2[[#This Row],[ln³(R/Rref)]]))-273.15</f>
        <v>37.69772890421234</v>
      </c>
    </row>
    <row r="25" spans="1:28" x14ac:dyDescent="0.25">
      <c r="A25" s="2">
        <v>38.799999999999997</v>
      </c>
      <c r="B25" s="2">
        <v>5700</v>
      </c>
      <c r="C25">
        <f>LN(Tabela2[[#This Row],[Resistência medida (ohm)]]/10000)</f>
        <v>-0.56211891815354131</v>
      </c>
      <c r="D25">
        <f>POWER(Tabela2[[#This Row],[ln(R/Rref)]],2)</f>
        <v>0.31597767814610767</v>
      </c>
      <c r="E25">
        <f>POWER(Tabela2[[#This Row],[ln(R/Rref)]],3)</f>
        <v>-0.1776170306001579</v>
      </c>
      <c r="F25">
        <v>3.354016E-3</v>
      </c>
      <c r="G25" s="2">
        <v>2.5698499999999999E-4</v>
      </c>
      <c r="H25" s="2">
        <v>2.6201309999999999E-6</v>
      </c>
      <c r="I25" s="2">
        <v>6.3830910000000002E-8</v>
      </c>
      <c r="J25" s="2">
        <f>(1/(Tabela2[[#This Row],[A1-D]]+Tabela2[[#This Row],[B1-D]]*Tabela2[[#This Row],[ln(R/Rref)]]+Tabela2[[#This Row],[C1-D]]*Tabela2[[#This Row],[ln²(R/Rref)]]+Tabela2[[#This Row],[D1_D]]*Tabela2[[#This Row],[ln³(R/Rref)]]))-273.15</f>
        <v>38.339951462794886</v>
      </c>
      <c r="K25" s="2">
        <v>3.3432562999999998E-3</v>
      </c>
      <c r="L25" s="2">
        <v>2.6025183000000002E-4</v>
      </c>
      <c r="M25" s="2">
        <v>4.92146E-6</v>
      </c>
      <c r="N25" s="2">
        <f>(1/(Tabela2[[#This Row],[A1-C1]]+Tabela2[[#This Row],[B1-C1]]*Tabela2[[#This Row],[ln(R/Rref)]]+Tabela2[[#This Row],[C1-C1]]*Tabela2[[#This Row],[ln²(R/Rref)]]))-273.15</f>
        <v>39.494706197628147</v>
      </c>
      <c r="O25" s="2">
        <v>3.3540990000000001E-3</v>
      </c>
      <c r="P25" s="2">
        <v>2.6192259999999998E-4</v>
      </c>
      <c r="Q25" s="2">
        <f t="shared" si="0"/>
        <v>-1.58436E-6</v>
      </c>
      <c r="R25" s="2">
        <f t="shared" si="1"/>
        <v>-2.0944659999999999E-6</v>
      </c>
      <c r="S25" s="4">
        <f>(1/(Tabela2[[#This Row],[A1_C2]]+Tabela2[[#This Row],[B1_C2]]*Tabela2[[#This Row],[ln(R/Rref)]]+Tabela2[[#This Row],[C1_C2]]*Tabela2[[#This Row],[ln²(R/Rref)]]+Tabela2[[#This Row],[D1_C2]]*Tabela2[[#This Row],[ln³(R/Rref)]]))-273.15</f>
        <v>38.693302648353153</v>
      </c>
      <c r="T25" s="4">
        <v>3.3440885E-3</v>
      </c>
      <c r="U25" s="4">
        <v>2.3892993E-4</v>
      </c>
      <c r="V25" s="4">
        <f t="shared" si="2"/>
        <v>-1.3030307E-5</v>
      </c>
      <c r="W25" s="4">
        <f>(1/(Tabela2[[#This Row],[A1-C3]]+Tabela2[[#This Row],[B1-C3]]*Tabela2[[#This Row],[ln(R/Rref)]]+Tabela2[[#This Row],[C1-C3]]*Tabela2[[#This Row],[ln²(R/Rref)]]))-273.15</f>
        <v>38.797834777335254</v>
      </c>
      <c r="X25" s="4">
        <v>3.3607340000000002E-3</v>
      </c>
      <c r="Y25" s="4">
        <v>3.5349200000000001E-4</v>
      </c>
      <c r="Z25" s="4">
        <v>2.301034E-4</v>
      </c>
      <c r="AA25" s="4">
        <v>1.6171649999999999E-4</v>
      </c>
      <c r="AB25" s="4">
        <f>(1/(Tabela2[[#This Row],[A1-C4]]+Tabela2[[#This Row],[B1-C4]]*Tabela2[[#This Row],[ln(R/Rref)]]+Tabela2[[#This Row],[C1-C4]]*Tabela2[[#This Row],[ln²(R/Rref)]]+Tabela2[[#This Row],[D1-C4]]*Tabela2[[#This Row],[ln³(R/Rref)]]))-273.15</f>
        <v>38.763856070651684</v>
      </c>
    </row>
    <row r="26" spans="1:28" x14ac:dyDescent="0.25">
      <c r="A26" s="2">
        <v>39.700000000000003</v>
      </c>
      <c r="B26" s="2">
        <v>5630</v>
      </c>
      <c r="C26">
        <f>LN(Tabela2[[#This Row],[Resistência medida (ohm)]]/10000)</f>
        <v>-0.57447565084244678</v>
      </c>
      <c r="D26">
        <f>POWER(Tabela2[[#This Row],[ln(R/Rref)]],2)</f>
        <v>0.33002227341085283</v>
      </c>
      <c r="E26">
        <f>POWER(Tabela2[[#This Row],[ln(R/Rref)]],3)</f>
        <v>-0.18958976031020361</v>
      </c>
      <c r="F26">
        <v>3.354016E-3</v>
      </c>
      <c r="G26" s="2">
        <v>2.5698499999999999E-4</v>
      </c>
      <c r="H26" s="2">
        <v>2.6201309999999999E-6</v>
      </c>
      <c r="I26" s="2">
        <v>6.3830910000000002E-8</v>
      </c>
      <c r="J26" s="2">
        <f>(1/(Tabela2[[#This Row],[A1-D]]+Tabela2[[#This Row],[B1-D]]*Tabela2[[#This Row],[ln(R/Rref)]]+Tabela2[[#This Row],[C1-D]]*Tabela2[[#This Row],[ln²(R/Rref)]]+Tabela2[[#This Row],[D1_D]]*Tabela2[[#This Row],[ln³(R/Rref)]]))-273.15</f>
        <v>38.644858897675249</v>
      </c>
      <c r="K26" s="2">
        <v>3.3432562999999998E-3</v>
      </c>
      <c r="L26" s="2">
        <v>2.6025183000000002E-4</v>
      </c>
      <c r="M26" s="2">
        <v>4.92146E-6</v>
      </c>
      <c r="N26" s="2">
        <f>(1/(Tabela2[[#This Row],[A1-C1]]+Tabela2[[#This Row],[B1-C1]]*Tabela2[[#This Row],[ln(R/Rref)]]+Tabela2[[#This Row],[C1-C1]]*Tabela2[[#This Row],[ln²(R/Rref)]]))-273.15</f>
        <v>39.802592822560314</v>
      </c>
      <c r="O26" s="2">
        <v>3.3540990000000001E-3</v>
      </c>
      <c r="P26" s="2">
        <v>2.6192259999999998E-4</v>
      </c>
      <c r="Q26" s="2">
        <f t="shared" si="0"/>
        <v>-1.58436E-6</v>
      </c>
      <c r="R26" s="2">
        <f t="shared" si="1"/>
        <v>-2.0944659999999999E-6</v>
      </c>
      <c r="S26" s="4">
        <f>(1/(Tabela2[[#This Row],[A1_C2]]+Tabela2[[#This Row],[B1_C2]]*Tabela2[[#This Row],[ln(R/Rref)]]+Tabela2[[#This Row],[C1_C2]]*Tabela2[[#This Row],[ln²(R/Rref)]]+Tabela2[[#This Row],[D1_C2]]*Tabela2[[#This Row],[ln³(R/Rref)]]))-273.15</f>
        <v>39.008083582689721</v>
      </c>
      <c r="T26" s="4">
        <v>3.3440885E-3</v>
      </c>
      <c r="U26" s="4">
        <v>2.3892993E-4</v>
      </c>
      <c r="V26" s="4">
        <f t="shared" si="2"/>
        <v>-1.3030307E-5</v>
      </c>
      <c r="W26" s="4">
        <f>(1/(Tabela2[[#This Row],[A1-C3]]+Tabela2[[#This Row],[B1-C3]]*Tabela2[[#This Row],[ln(R/Rref)]]+Tabela2[[#This Row],[C1-C3]]*Tabela2[[#This Row],[ln²(R/Rref)]]))-273.15</f>
        <v>39.103243687379063</v>
      </c>
      <c r="X26" s="4">
        <v>3.3607340000000002E-3</v>
      </c>
      <c r="Y26" s="4">
        <v>3.5349200000000001E-4</v>
      </c>
      <c r="Z26" s="4">
        <v>2.301034E-4</v>
      </c>
      <c r="AA26" s="4">
        <v>1.6171649999999999E-4</v>
      </c>
      <c r="AB26" s="4">
        <f>(1/(Tabela2[[#This Row],[A1-C4]]+Tabela2[[#This Row],[B1-C4]]*Tabela2[[#This Row],[ln(R/Rref)]]+Tabela2[[#This Row],[C1-C4]]*Tabela2[[#This Row],[ln²(R/Rref)]]+Tabela2[[#This Row],[D1-C4]]*Tabela2[[#This Row],[ln³(R/Rref)]]))-273.15</f>
        <v>39.063065660660925</v>
      </c>
    </row>
    <row r="27" spans="1:28" x14ac:dyDescent="0.25">
      <c r="A27" s="2">
        <v>40.1</v>
      </c>
      <c r="B27" s="2">
        <v>5330</v>
      </c>
      <c r="C27">
        <f>LN(Tabela2[[#This Row],[Resistência medida (ohm)]]/10000)</f>
        <v>-0.62923385481629246</v>
      </c>
      <c r="D27">
        <f>POWER(Tabela2[[#This Row],[ln(R/Rref)]],2)</f>
        <v>0.395935244046971</v>
      </c>
      <c r="E27">
        <f>POWER(Tabela2[[#This Row],[ln(R/Rref)]],3)</f>
        <v>-0.24913585986930509</v>
      </c>
      <c r="F27">
        <v>3.354016E-3</v>
      </c>
      <c r="G27" s="2">
        <v>2.5698499999999999E-4</v>
      </c>
      <c r="H27" s="2">
        <v>2.6201309999999999E-6</v>
      </c>
      <c r="I27" s="2">
        <v>6.3830910000000002E-8</v>
      </c>
      <c r="J27" s="2">
        <f>(1/(Tabela2[[#This Row],[A1-D]]+Tabela2[[#This Row],[B1-D]]*Tabela2[[#This Row],[ln(R/Rref)]]+Tabela2[[#This Row],[C1-D]]*Tabela2[[#This Row],[ln²(R/Rref)]]+Tabela2[[#This Row],[D1_D]]*Tabela2[[#This Row],[ln³(R/Rref)]]))-273.15</f>
        <v>40.002351398354733</v>
      </c>
      <c r="K27" s="2">
        <v>3.3432562999999998E-3</v>
      </c>
      <c r="L27" s="2">
        <v>2.6025183000000002E-4</v>
      </c>
      <c r="M27" s="2">
        <v>4.92146E-6</v>
      </c>
      <c r="N27" s="2">
        <f>(1/(Tabela2[[#This Row],[A1-C1]]+Tabela2[[#This Row],[B1-C1]]*Tabela2[[#This Row],[ln(R/Rref)]]+Tabela2[[#This Row],[C1-C1]]*Tabela2[[#This Row],[ln²(R/Rref)]]))-273.15</f>
        <v>41.172518850305778</v>
      </c>
      <c r="O27" s="2">
        <v>3.3540990000000001E-3</v>
      </c>
      <c r="P27" s="2">
        <v>2.6192259999999998E-4</v>
      </c>
      <c r="Q27" s="2">
        <f t="shared" si="0"/>
        <v>-1.58436E-6</v>
      </c>
      <c r="R27" s="2">
        <f t="shared" si="1"/>
        <v>-2.0944659999999999E-6</v>
      </c>
      <c r="S27" s="4">
        <f>(1/(Tabela2[[#This Row],[A1_C2]]+Tabela2[[#This Row],[B1_C2]]*Tabela2[[#This Row],[ln(R/Rref)]]+Tabela2[[#This Row],[C1_C2]]*Tabela2[[#This Row],[ln²(R/Rref)]]+Tabela2[[#This Row],[D1_C2]]*Tabela2[[#This Row],[ln³(R/Rref)]]))-273.15</f>
        <v>40.409936907834435</v>
      </c>
      <c r="T27" s="4">
        <v>3.3440885E-3</v>
      </c>
      <c r="U27" s="4">
        <v>2.3892993E-4</v>
      </c>
      <c r="V27" s="4">
        <f t="shared" si="2"/>
        <v>-1.3030307E-5</v>
      </c>
      <c r="W27" s="4">
        <f>(1/(Tabela2[[#This Row],[A1-C3]]+Tabela2[[#This Row],[B1-C3]]*Tabela2[[#This Row],[ln(R/Rref)]]+Tabela2[[#This Row],[C1-C3]]*Tabela2[[#This Row],[ln²(R/Rref)]]))-273.15</f>
        <v>40.468585237434809</v>
      </c>
      <c r="X27" s="4">
        <v>3.3607340000000002E-3</v>
      </c>
      <c r="Y27" s="4">
        <v>3.5349200000000001E-4</v>
      </c>
      <c r="Z27" s="4">
        <v>2.301034E-4</v>
      </c>
      <c r="AA27" s="4">
        <v>1.6171649999999999E-4</v>
      </c>
      <c r="AB27" s="4">
        <f>(1/(Tabela2[[#This Row],[A1-C4]]+Tabela2[[#This Row],[B1-C4]]*Tabela2[[#This Row],[ln(R/Rref)]]+Tabela2[[#This Row],[C1-C4]]*Tabela2[[#This Row],[ln²(R/Rref)]]+Tabela2[[#This Row],[D1-C4]]*Tabela2[[#This Row],[ln³(R/Rref)]]))-273.15</f>
        <v>40.415974119218447</v>
      </c>
    </row>
    <row r="28" spans="1:28" x14ac:dyDescent="0.25">
      <c r="A28" s="2">
        <v>41.4</v>
      </c>
      <c r="B28" s="2">
        <v>5180</v>
      </c>
      <c r="C28">
        <f>LN(Tabela2[[#This Row],[Resistência medida (ohm)]]/10000)</f>
        <v>-0.65778003672265395</v>
      </c>
      <c r="D28">
        <f>POWER(Tabela2[[#This Row],[ln(R/Rref)]],2)</f>
        <v>0.43267457671085596</v>
      </c>
      <c r="E28">
        <f>POWER(Tabela2[[#This Row],[ln(R/Rref)]],3)</f>
        <v>-0.28460469895782559</v>
      </c>
      <c r="F28">
        <v>3.354016E-3</v>
      </c>
      <c r="G28" s="2">
        <v>2.5698499999999999E-4</v>
      </c>
      <c r="H28" s="2">
        <v>2.6201309999999999E-6</v>
      </c>
      <c r="I28" s="2">
        <v>6.3830910000000002E-8</v>
      </c>
      <c r="J28" s="2">
        <f>(1/(Tabela2[[#This Row],[A1-D]]+Tabela2[[#This Row],[B1-D]]*Tabela2[[#This Row],[ln(R/Rref)]]+Tabela2[[#This Row],[C1-D]]*Tabela2[[#This Row],[ln²(R/Rref)]]+Tabela2[[#This Row],[D1_D]]*Tabela2[[#This Row],[ln³(R/Rref)]]))-273.15</f>
        <v>40.714142351169869</v>
      </c>
      <c r="K28" s="2">
        <v>3.3432562999999998E-3</v>
      </c>
      <c r="L28" s="2">
        <v>2.6025183000000002E-4</v>
      </c>
      <c r="M28" s="2">
        <v>4.92146E-6</v>
      </c>
      <c r="N28" s="2">
        <f>(1/(Tabela2[[#This Row],[A1-C1]]+Tabela2[[#This Row],[B1-C1]]*Tabela2[[#This Row],[ln(R/Rref)]]+Tabela2[[#This Row],[C1-C1]]*Tabela2[[#This Row],[ln²(R/Rref)]]))-273.15</f>
        <v>41.890284773565099</v>
      </c>
      <c r="O28" s="2">
        <v>3.3540990000000001E-3</v>
      </c>
      <c r="P28" s="2">
        <v>2.6192259999999998E-4</v>
      </c>
      <c r="Q28" s="2">
        <f t="shared" si="0"/>
        <v>-1.58436E-6</v>
      </c>
      <c r="R28" s="2">
        <f t="shared" si="1"/>
        <v>-2.0944659999999999E-6</v>
      </c>
      <c r="S28" s="4">
        <f>(1/(Tabela2[[#This Row],[A1_C2]]+Tabela2[[#This Row],[B1_C2]]*Tabela2[[#This Row],[ln(R/Rref)]]+Tabela2[[#This Row],[C1_C2]]*Tabela2[[#This Row],[ln²(R/Rref)]]+Tabela2[[#This Row],[D1_C2]]*Tabela2[[#This Row],[ln³(R/Rref)]]))-273.15</f>
        <v>41.145202620883765</v>
      </c>
      <c r="T28" s="4">
        <v>3.3440885E-3</v>
      </c>
      <c r="U28" s="4">
        <v>2.3892993E-4</v>
      </c>
      <c r="V28" s="4">
        <f t="shared" si="2"/>
        <v>-1.3030307E-5</v>
      </c>
      <c r="W28" s="4">
        <f>(1/(Tabela2[[#This Row],[A1-C3]]+Tabela2[[#This Row],[B1-C3]]*Tabela2[[#This Row],[ln(R/Rref)]]+Tabela2[[#This Row],[C1-C3]]*Tabela2[[#This Row],[ln²(R/Rref)]]))-273.15</f>
        <v>41.188163203708257</v>
      </c>
      <c r="X28" s="4">
        <v>3.3607340000000002E-3</v>
      </c>
      <c r="Y28" s="4">
        <v>3.5349200000000001E-4</v>
      </c>
      <c r="Z28" s="4">
        <v>2.301034E-4</v>
      </c>
      <c r="AA28" s="4">
        <v>1.6171649999999999E-4</v>
      </c>
      <c r="AB28" s="4">
        <f>(1/(Tabela2[[#This Row],[A1-C4]]+Tabela2[[#This Row],[B1-C4]]*Tabela2[[#This Row],[ln(R/Rref)]]+Tabela2[[#This Row],[C1-C4]]*Tabela2[[#This Row],[ln²(R/Rref)]]+Tabela2[[#This Row],[D1-C4]]*Tabela2[[#This Row],[ln³(R/Rref)]]))-273.15</f>
        <v>41.142583992441018</v>
      </c>
    </row>
    <row r="29" spans="1:28" x14ac:dyDescent="0.25">
      <c r="A29" s="2">
        <v>41.7</v>
      </c>
      <c r="B29" s="2">
        <v>5070</v>
      </c>
      <c r="C29">
        <f>LN(Tabela2[[#This Row],[Resistência medida (ohm)]]/10000)</f>
        <v>-0.67924427539095389</v>
      </c>
      <c r="D29">
        <f>POWER(Tabela2[[#This Row],[ln(R/Rref)]],2)</f>
        <v>0.46137278565138201</v>
      </c>
      <c r="E29">
        <f>POWER(Tabela2[[#This Row],[ln(R/Rref)]],3)</f>
        <v>-0.31338482347487884</v>
      </c>
      <c r="F29">
        <v>3.354016E-3</v>
      </c>
      <c r="G29" s="2">
        <v>2.5698499999999999E-4</v>
      </c>
      <c r="H29" s="2">
        <v>2.6201309999999999E-6</v>
      </c>
      <c r="I29" s="2">
        <v>6.3830910000000002E-8</v>
      </c>
      <c r="J29" s="2">
        <f>(1/(Tabela2[[#This Row],[A1-D]]+Tabela2[[#This Row],[B1-D]]*Tabela2[[#This Row],[ln(R/Rref)]]+Tabela2[[#This Row],[C1-D]]*Tabela2[[#This Row],[ln²(R/Rref)]]+Tabela2[[#This Row],[D1_D]]*Tabela2[[#This Row],[ln³(R/Rref)]]))-273.15</f>
        <v>41.251217232821261</v>
      </c>
      <c r="K29" s="2">
        <v>3.3432562999999998E-3</v>
      </c>
      <c r="L29" s="2">
        <v>2.6025183000000002E-4</v>
      </c>
      <c r="M29" s="2">
        <v>4.92146E-6</v>
      </c>
      <c r="N29" s="2">
        <f>(1/(Tabela2[[#This Row],[A1-C1]]+Tabela2[[#This Row],[B1-C1]]*Tabela2[[#This Row],[ln(R/Rref)]]+Tabela2[[#This Row],[C1-C1]]*Tabela2[[#This Row],[ln²(R/Rref)]]))-273.15</f>
        <v>42.431618805278276</v>
      </c>
      <c r="O29" s="2">
        <v>3.3540990000000001E-3</v>
      </c>
      <c r="P29" s="2">
        <v>2.6192259999999998E-4</v>
      </c>
      <c r="Q29" s="2">
        <f t="shared" si="0"/>
        <v>-1.58436E-6</v>
      </c>
      <c r="R29" s="2">
        <f t="shared" si="1"/>
        <v>-2.0944659999999999E-6</v>
      </c>
      <c r="S29" s="4">
        <f>(1/(Tabela2[[#This Row],[A1_C2]]+Tabela2[[#This Row],[B1_C2]]*Tabela2[[#This Row],[ln(R/Rref)]]+Tabela2[[#This Row],[C1_C2]]*Tabela2[[#This Row],[ln²(R/Rref)]]+Tabela2[[#This Row],[D1_C2]]*Tabela2[[#This Row],[ln³(R/Rref)]]))-273.15</f>
        <v>41.700063838357551</v>
      </c>
      <c r="T29" s="4">
        <v>3.3440885E-3</v>
      </c>
      <c r="U29" s="4">
        <v>2.3892993E-4</v>
      </c>
      <c r="V29" s="4">
        <f t="shared" si="2"/>
        <v>-1.3030307E-5</v>
      </c>
      <c r="W29" s="4">
        <f>(1/(Tabela2[[#This Row],[A1-C3]]+Tabela2[[#This Row],[B1-C3]]*Tabela2[[#This Row],[ln(R/Rref)]]+Tabela2[[#This Row],[C1-C3]]*Tabela2[[#This Row],[ln²(R/Rref)]]))-273.15</f>
        <v>41.732788536598093</v>
      </c>
      <c r="X29" s="4">
        <v>3.3607340000000002E-3</v>
      </c>
      <c r="Y29" s="4">
        <v>3.5349200000000001E-4</v>
      </c>
      <c r="Z29" s="4">
        <v>2.301034E-4</v>
      </c>
      <c r="AA29" s="4">
        <v>1.6171649999999999E-4</v>
      </c>
      <c r="AB29" s="4">
        <f>(1/(Tabela2[[#This Row],[A1-C4]]+Tabela2[[#This Row],[B1-C4]]*Tabela2[[#This Row],[ln(R/Rref)]]+Tabela2[[#This Row],[C1-C4]]*Tabela2[[#This Row],[ln²(R/Rref)]]+Tabela2[[#This Row],[D1-C4]]*Tabela2[[#This Row],[ln³(R/Rref)]]))-273.15</f>
        <v>41.700503401889875</v>
      </c>
    </row>
    <row r="30" spans="1:28" x14ac:dyDescent="0.25">
      <c r="A30" s="2">
        <v>42.5</v>
      </c>
      <c r="B30" s="2">
        <v>4920</v>
      </c>
      <c r="C30">
        <f>LN(Tabela2[[#This Row],[Resistência medida (ohm)]]/10000)</f>
        <v>-0.70927656248982895</v>
      </c>
      <c r="D30">
        <f>POWER(Tabela2[[#This Row],[ln(R/Rref)]],2)</f>
        <v>0.50307324209738824</v>
      </c>
      <c r="E30">
        <f>POWER(Tabela2[[#This Row],[ln(R/Rref)]],3)</f>
        <v>-0.35681805983544906</v>
      </c>
      <c r="F30">
        <v>3.354016E-3</v>
      </c>
      <c r="G30" s="2">
        <v>2.5698499999999999E-4</v>
      </c>
      <c r="H30" s="2">
        <v>2.6201309999999999E-6</v>
      </c>
      <c r="I30" s="2">
        <v>6.3830910000000002E-8</v>
      </c>
      <c r="J30" s="2">
        <f>(1/(Tabela2[[#This Row],[A1-D]]+Tabela2[[#This Row],[B1-D]]*Tabela2[[#This Row],[ln(R/Rref)]]+Tabela2[[#This Row],[C1-D]]*Tabela2[[#This Row],[ln²(R/Rref)]]+Tabela2[[#This Row],[D1_D]]*Tabela2[[#This Row],[ln³(R/Rref)]]))-273.15</f>
        <v>42.005390556371538</v>
      </c>
      <c r="K30" s="2">
        <v>3.3432562999999998E-3</v>
      </c>
      <c r="L30" s="2">
        <v>2.6025183000000002E-4</v>
      </c>
      <c r="M30" s="2">
        <v>4.92146E-6</v>
      </c>
      <c r="N30" s="2">
        <f>(1/(Tabela2[[#This Row],[A1-C1]]+Tabela2[[#This Row],[B1-C1]]*Tabela2[[#This Row],[ln(R/Rref)]]+Tabela2[[#This Row],[C1-C1]]*Tabela2[[#This Row],[ln²(R/Rref)]]))-273.15</f>
        <v>43.191409712074119</v>
      </c>
      <c r="O30" s="2">
        <v>3.3540990000000001E-3</v>
      </c>
      <c r="P30" s="2">
        <v>2.6192259999999998E-4</v>
      </c>
      <c r="Q30" s="2">
        <f t="shared" si="0"/>
        <v>-1.58436E-6</v>
      </c>
      <c r="R30" s="2">
        <f t="shared" si="1"/>
        <v>-2.0944659999999999E-6</v>
      </c>
      <c r="S30" s="4">
        <f>(1/(Tabela2[[#This Row],[A1_C2]]+Tabela2[[#This Row],[B1_C2]]*Tabela2[[#This Row],[ln(R/Rref)]]+Tabela2[[#This Row],[C1_C2]]*Tabela2[[#This Row],[ln²(R/Rref)]]+Tabela2[[#This Row],[D1_C2]]*Tabela2[[#This Row],[ln³(R/Rref)]]))-273.15</f>
        <v>42.479293531484416</v>
      </c>
      <c r="T30" s="4">
        <v>3.3440885E-3</v>
      </c>
      <c r="U30" s="4">
        <v>2.3892993E-4</v>
      </c>
      <c r="V30" s="4">
        <f t="shared" si="2"/>
        <v>-1.3030307E-5</v>
      </c>
      <c r="W30" s="4">
        <f>(1/(Tabela2[[#This Row],[A1-C3]]+Tabela2[[#This Row],[B1-C3]]*Tabela2[[#This Row],[ln(R/Rref)]]+Tabela2[[#This Row],[C1-C3]]*Tabela2[[#This Row],[ln²(R/Rref)]]))-273.15</f>
        <v>42.499999400694151</v>
      </c>
      <c r="X30" s="4">
        <v>3.3607340000000002E-3</v>
      </c>
      <c r="Y30" s="4">
        <v>3.5349200000000001E-4</v>
      </c>
      <c r="Z30" s="4">
        <v>2.301034E-4</v>
      </c>
      <c r="AA30" s="4">
        <v>1.6171649999999999E-4</v>
      </c>
      <c r="AB30" s="4">
        <f>(1/(Tabela2[[#This Row],[A1-C4]]+Tabela2[[#This Row],[B1-C4]]*Tabela2[[#This Row],[ln(R/Rref)]]+Tabela2[[#This Row],[C1-C4]]*Tabela2[[#This Row],[ln²(R/Rref)]]+Tabela2[[#This Row],[D1-C4]]*Tabela2[[#This Row],[ln³(R/Rref)]]))-273.15</f>
        <v>42.499999074992729</v>
      </c>
    </row>
    <row r="31" spans="1:28" x14ac:dyDescent="0.25">
      <c r="A31" s="2">
        <v>42.7</v>
      </c>
      <c r="B31" s="2">
        <v>4860</v>
      </c>
      <c r="C31">
        <f>LN(Tabela2[[#This Row],[Resistência medida (ohm)]]/10000)</f>
        <v>-0.72154665508164328</v>
      </c>
      <c r="D31">
        <f>POWER(Tabela2[[#This Row],[ln(R/Rref)]],2)</f>
        <v>0.52062957545950794</v>
      </c>
      <c r="E31">
        <f>POWER(Tabela2[[#This Row],[ln(R/Rref)]],3)</f>
        <v>-0.37565852870938393</v>
      </c>
      <c r="F31">
        <v>3.354016E-3</v>
      </c>
      <c r="G31" s="2">
        <v>2.5698499999999999E-4</v>
      </c>
      <c r="H31" s="2">
        <v>2.6201309999999999E-6</v>
      </c>
      <c r="I31" s="2">
        <v>6.3830910000000002E-8</v>
      </c>
      <c r="J31" s="2">
        <f>(1/(Tabela2[[#This Row],[A1-D]]+Tabela2[[#This Row],[B1-D]]*Tabela2[[#This Row],[ln(R/Rref)]]+Tabela2[[#This Row],[C1-D]]*Tabela2[[#This Row],[ln²(R/Rref)]]+Tabela2[[#This Row],[D1_D]]*Tabela2[[#This Row],[ln³(R/Rref)]]))-273.15</f>
        <v>42.314431894127893</v>
      </c>
      <c r="K31" s="2">
        <v>3.3432562999999998E-3</v>
      </c>
      <c r="L31" s="2">
        <v>2.6025183000000002E-4</v>
      </c>
      <c r="M31" s="2">
        <v>4.92146E-6</v>
      </c>
      <c r="N31" s="2">
        <f>(1/(Tabela2[[#This Row],[A1-C1]]+Tabela2[[#This Row],[B1-C1]]*Tabela2[[#This Row],[ln(R/Rref)]]+Tabela2[[#This Row],[C1-C1]]*Tabela2[[#This Row],[ln²(R/Rref)]]))-273.15</f>
        <v>43.502630067315863</v>
      </c>
      <c r="O31" s="2">
        <v>3.3540990000000001E-3</v>
      </c>
      <c r="P31" s="2">
        <v>2.6192259999999998E-4</v>
      </c>
      <c r="Q31" s="2">
        <f t="shared" si="0"/>
        <v>-1.58436E-6</v>
      </c>
      <c r="R31" s="2">
        <f t="shared" si="1"/>
        <v>-2.0944659999999999E-6</v>
      </c>
      <c r="S31" s="4">
        <f>(1/(Tabela2[[#This Row],[A1_C2]]+Tabela2[[#This Row],[B1_C2]]*Tabela2[[#This Row],[ln(R/Rref)]]+Tabela2[[#This Row],[C1_C2]]*Tabela2[[#This Row],[ln²(R/Rref)]]+Tabela2[[#This Row],[D1_C2]]*Tabela2[[#This Row],[ln³(R/Rref)]]))-273.15</f>
        <v>42.798622317712272</v>
      </c>
      <c r="T31" s="4">
        <v>3.3440885E-3</v>
      </c>
      <c r="U31" s="4">
        <v>2.3892993E-4</v>
      </c>
      <c r="V31" s="4">
        <f t="shared" si="2"/>
        <v>-1.3030307E-5</v>
      </c>
      <c r="W31" s="4">
        <f>(1/(Tabela2[[#This Row],[A1-C3]]+Tabela2[[#This Row],[B1-C3]]*Tabela2[[#This Row],[ln(R/Rref)]]+Tabela2[[#This Row],[C1-C3]]*Tabela2[[#This Row],[ln²(R/Rref)]]))-273.15</f>
        <v>42.815205714840317</v>
      </c>
      <c r="X31" s="4">
        <v>3.3607340000000002E-3</v>
      </c>
      <c r="Y31" s="4">
        <v>3.5349200000000001E-4</v>
      </c>
      <c r="Z31" s="4">
        <v>2.301034E-4</v>
      </c>
      <c r="AA31" s="4">
        <v>1.6171649999999999E-4</v>
      </c>
      <c r="AB31" s="4">
        <f>(1/(Tabela2[[#This Row],[A1-C4]]+Tabela2[[#This Row],[B1-C4]]*Tabela2[[#This Row],[ln(R/Rref)]]+Tabela2[[#This Row],[C1-C4]]*Tabela2[[#This Row],[ln²(R/Rref)]]+Tabela2[[#This Row],[D1-C4]]*Tabela2[[#This Row],[ln³(R/Rref)]]))-273.15</f>
        <v>42.833572467802867</v>
      </c>
    </row>
    <row r="32" spans="1:28" x14ac:dyDescent="0.25">
      <c r="A32" s="2">
        <v>43</v>
      </c>
      <c r="B32" s="5">
        <v>4640</v>
      </c>
      <c r="C32">
        <f>LN(Tabela2[[#This Row],[Resistência medida (ohm)]]/10000)</f>
        <v>-0.76787072675588175</v>
      </c>
      <c r="D32">
        <f>POWER(Tabela2[[#This Row],[ln(R/Rref)]],2)</f>
        <v>0.58962545300860603</v>
      </c>
      <c r="E32">
        <f>POWER(Tabela2[[#This Row],[ln(R/Rref)]],3)</f>
        <v>-0.4527561251154843</v>
      </c>
      <c r="F32">
        <v>3.354016E-3</v>
      </c>
      <c r="G32" s="2">
        <v>2.5698499999999999E-4</v>
      </c>
      <c r="H32" s="2">
        <v>2.6201309999999999E-6</v>
      </c>
      <c r="I32" s="2">
        <v>6.3830910000000002E-8</v>
      </c>
      <c r="J32" s="2">
        <f>(1/(Tabela2[[#This Row],[A1-D]]+Tabela2[[#This Row],[B1-D]]*Tabela2[[#This Row],[ln(R/Rref)]]+Tabela2[[#This Row],[C1-D]]*Tabela2[[#This Row],[ln²(R/Rref)]]+Tabela2[[#This Row],[D1_D]]*Tabela2[[#This Row],[ln³(R/Rref)]]))-273.15</f>
        <v>43.485984586129234</v>
      </c>
      <c r="K32" s="2">
        <v>3.3432562999999998E-3</v>
      </c>
      <c r="L32" s="2">
        <v>2.6025183000000002E-4</v>
      </c>
      <c r="M32" s="2">
        <v>4.92146E-6</v>
      </c>
      <c r="N32" s="2">
        <f>(1/(Tabela2[[#This Row],[A1-C1]]+Tabela2[[#This Row],[B1-C1]]*Tabela2[[#This Row],[ln(R/Rref)]]+Tabela2[[#This Row],[C1-C1]]*Tabela2[[#This Row],[ln²(R/Rref)]]))-273.15</f>
        <v>44.681791565729327</v>
      </c>
      <c r="O32" s="2">
        <v>3.3540990000000001E-3</v>
      </c>
      <c r="P32" s="2">
        <v>2.6192259999999998E-4</v>
      </c>
      <c r="Q32" s="2">
        <f t="shared" si="0"/>
        <v>-1.58436E-6</v>
      </c>
      <c r="R32" s="2">
        <f t="shared" si="1"/>
        <v>-2.0944659999999999E-6</v>
      </c>
      <c r="S32" s="4">
        <f>(1/(Tabela2[[#This Row],[A1_C2]]+Tabela2[[#This Row],[B1_C2]]*Tabela2[[#This Row],[ln(R/Rref)]]+Tabela2[[#This Row],[C1_C2]]*Tabela2[[#This Row],[ln²(R/Rref)]]+Tabela2[[#This Row],[D1_C2]]*Tabela2[[#This Row],[ln³(R/Rref)]]))-273.15</f>
        <v>44.00922701876209</v>
      </c>
      <c r="T32" s="4">
        <v>3.3440885E-3</v>
      </c>
      <c r="U32" s="4">
        <v>2.3892993E-4</v>
      </c>
      <c r="V32" s="4">
        <f t="shared" si="2"/>
        <v>-1.3030307E-5</v>
      </c>
      <c r="W32" s="4">
        <f>(1/(Tabela2[[#This Row],[A1-C3]]+Tabela2[[#This Row],[B1-C3]]*Tabela2[[#This Row],[ln(R/Rref)]]+Tabela2[[#This Row],[C1-C3]]*Tabela2[[#This Row],[ln²(R/Rref)]]))-273.15</f>
        <v>44.014478483066398</v>
      </c>
      <c r="X32" s="4">
        <v>3.3607340000000002E-3</v>
      </c>
      <c r="Y32" s="4">
        <v>3.5349200000000001E-4</v>
      </c>
      <c r="Z32" s="4">
        <v>2.301034E-4</v>
      </c>
      <c r="AA32" s="4">
        <v>1.6171649999999999E-4</v>
      </c>
      <c r="AB32" s="4">
        <f>(1/(Tabela2[[#This Row],[A1-C4]]+Tabela2[[#This Row],[B1-C4]]*Tabela2[[#This Row],[ln(R/Rref)]]+Tabela2[[#This Row],[C1-C4]]*Tabela2[[#This Row],[ln²(R/Rref)]]+Tabela2[[#This Row],[D1-C4]]*Tabela2[[#This Row],[ln³(R/Rref)]]))-273.15</f>
        <v>44.133592854631729</v>
      </c>
    </row>
    <row r="33" spans="1:28" x14ac:dyDescent="0.25">
      <c r="A33">
        <v>45.5</v>
      </c>
      <c r="B33" s="1">
        <v>4240</v>
      </c>
      <c r="C33">
        <f>LN(Tabela2[[#This Row],[Resistência medida (ohm)]]/10000)</f>
        <v>-0.85802182375017932</v>
      </c>
      <c r="D33">
        <f>POWER(Tabela2[[#This Row],[ln(R/Rref)]],2)</f>
        <v>0.73620145003158377</v>
      </c>
      <c r="E33">
        <f>POWER(Tabela2[[#This Row],[ln(R/Rref)]],3)</f>
        <v>-0.63167691080362598</v>
      </c>
      <c r="F33">
        <v>3.354016E-3</v>
      </c>
      <c r="G33" s="2">
        <v>2.5698499999999999E-4</v>
      </c>
      <c r="H33" s="2">
        <v>2.6201309999999999E-6</v>
      </c>
      <c r="I33" s="2">
        <v>6.3830910000000002E-8</v>
      </c>
      <c r="J33" s="2">
        <f>(1/(Tabela2[[#This Row],[A1-D]]+Tabela2[[#This Row],[B1-D]]*Tabela2[[#This Row],[ln(R/Rref)]]+Tabela2[[#This Row],[C1-D]]*Tabela2[[#This Row],[ln²(R/Rref)]]+Tabela2[[#This Row],[D1_D]]*Tabela2[[#This Row],[ln³(R/Rref)]]))-273.15</f>
        <v>45.787973763297316</v>
      </c>
      <c r="K33" s="2">
        <v>3.3432562999999998E-3</v>
      </c>
      <c r="L33" s="2">
        <v>2.6025183000000002E-4</v>
      </c>
      <c r="M33" s="2">
        <v>4.92146E-6</v>
      </c>
      <c r="N33" s="2">
        <f>(1/(Tabela2[[#This Row],[A1-C1]]+Tabela2[[#This Row],[B1-C1]]*Tabela2[[#This Row],[ln(R/Rref)]]+Tabela2[[#This Row],[C1-C1]]*Tabela2[[#This Row],[ln²(R/Rref)]]))-273.15</f>
        <v>46.995706129857638</v>
      </c>
      <c r="O33" s="2">
        <v>3.3540990000000001E-3</v>
      </c>
      <c r="P33" s="2">
        <v>2.6192259999999998E-4</v>
      </c>
      <c r="Q33" s="2">
        <f t="shared" si="0"/>
        <v>-1.58436E-6</v>
      </c>
      <c r="R33" s="2">
        <f t="shared" si="1"/>
        <v>-2.0944659999999999E-6</v>
      </c>
      <c r="S33" s="4">
        <f>(1/(Tabela2[[#This Row],[A1_C2]]+Tabela2[[#This Row],[B1_C2]]*Tabela2[[#This Row],[ln(R/Rref)]]+Tabela2[[#This Row],[C1_C2]]*Tabela2[[#This Row],[ln²(R/Rref)]]+Tabela2[[#This Row],[D1_C2]]*Tabela2[[#This Row],[ln³(R/Rref)]]))-273.15</f>
        <v>46.387788767498932</v>
      </c>
      <c r="T33" s="4">
        <v>3.3440885E-3</v>
      </c>
      <c r="U33" s="4">
        <v>2.3892993E-4</v>
      </c>
      <c r="V33" s="4">
        <f t="shared" si="2"/>
        <v>-1.3030307E-5</v>
      </c>
      <c r="W33" s="4">
        <f>(1/(Tabela2[[#This Row],[A1-C3]]+Tabela2[[#This Row],[B1-C3]]*Tabela2[[#This Row],[ln(R/Rref)]]+Tabela2[[#This Row],[C1-C3]]*Tabela2[[#This Row],[ln²(R/Rref)]]))-273.15</f>
        <v>46.391039390555875</v>
      </c>
      <c r="X33" s="4">
        <v>3.3607340000000002E-3</v>
      </c>
      <c r="Y33" s="4">
        <v>3.5349200000000001E-4</v>
      </c>
      <c r="Z33" s="4">
        <v>2.301034E-4</v>
      </c>
      <c r="AA33" s="4">
        <v>1.6171649999999999E-4</v>
      </c>
      <c r="AB33" s="4">
        <f>(1/(Tabela2[[#This Row],[A1-C4]]+Tabela2[[#This Row],[B1-C4]]*Tabela2[[#This Row],[ln(R/Rref)]]+Tabela2[[#This Row],[C1-C4]]*Tabela2[[#This Row],[ln²(R/Rref)]]+Tabela2[[#This Row],[D1-C4]]*Tabela2[[#This Row],[ln³(R/Rref)]]))-273.15</f>
        <v>46.882768583238317</v>
      </c>
    </row>
    <row r="34" spans="1:28" x14ac:dyDescent="0.25">
      <c r="A34" s="2">
        <v>100</v>
      </c>
      <c r="B34" s="2">
        <v>682</v>
      </c>
      <c r="C34">
        <f>LN(Tabela2[[#This Row],[Resistência medida (ohm)]]/10000)</f>
        <v>-2.6853107141327208</v>
      </c>
      <c r="D34">
        <f>POWER(Tabela2[[#This Row],[ln(R/Rref)]],2)</f>
        <v>7.2108936314359831</v>
      </c>
      <c r="E34">
        <f>POWER(Tabela2[[#This Row],[ln(R/Rref)]],3)</f>
        <v>-19.363489926966448</v>
      </c>
      <c r="F34">
        <v>3.354016E-3</v>
      </c>
      <c r="G34" s="2">
        <v>2.5698499999999999E-4</v>
      </c>
      <c r="H34" s="2">
        <v>2.6201309999999999E-6</v>
      </c>
      <c r="I34" s="2">
        <v>6.3830910000000002E-8</v>
      </c>
      <c r="J34" s="2">
        <f>(1/(Tabela2[[#This Row],[A1-D]]+Tabela2[[#This Row],[B1-D]]*Tabela2[[#This Row],[ln(R/Rref)]]+Tabela2[[#This Row],[C1-D]]*Tabela2[[#This Row],[ln²(R/Rref)]]+Tabela2[[#This Row],[D1_D]]*Tabela2[[#This Row],[ln³(R/Rref)]]))-273.15</f>
        <v>99.763234935099149</v>
      </c>
      <c r="K34" s="2">
        <v>3.3432562999999998E-3</v>
      </c>
      <c r="L34" s="2">
        <v>2.6025183000000002E-4</v>
      </c>
      <c r="M34" s="2">
        <v>4.92146E-6</v>
      </c>
      <c r="N34" s="2">
        <f>(1/(Tabela2[[#This Row],[A1-C1]]+Tabela2[[#This Row],[B1-C1]]*Tabela2[[#This Row],[ln(R/Rref)]]+Tabela2[[#This Row],[C1-C1]]*Tabela2[[#This Row],[ln²(R/Rref)]]))-273.15</f>
        <v>100.00000663171141</v>
      </c>
      <c r="O34" s="2">
        <v>3.3540990000000001E-3</v>
      </c>
      <c r="P34" s="2">
        <v>2.6192259999999998E-4</v>
      </c>
      <c r="Q34" s="2">
        <f t="shared" si="0"/>
        <v>-1.58436E-6</v>
      </c>
      <c r="R34" s="2">
        <f t="shared" si="1"/>
        <v>-2.0944659999999999E-6</v>
      </c>
      <c r="S34" s="4">
        <f>(1/(Tabela2[[#This Row],[A1_C2]]+Tabela2[[#This Row],[B1_C2]]*Tabela2[[#This Row],[ln(R/Rref)]]+Tabela2[[#This Row],[C1_C2]]*Tabela2[[#This Row],[ln²(R/Rref)]]+Tabela2[[#This Row],[D1_C2]]*Tabela2[[#This Row],[ln³(R/Rref)]]))-273.15</f>
        <v>100.00006807787202</v>
      </c>
      <c r="T34" s="4">
        <v>3.3440885E-3</v>
      </c>
      <c r="U34" s="4">
        <v>2.3892993E-4</v>
      </c>
      <c r="V34" s="4">
        <f t="shared" si="2"/>
        <v>-1.3030307E-5</v>
      </c>
      <c r="W34" s="4">
        <f>(1/(Tabela2[[#This Row],[A1-C3]]+Tabela2[[#This Row],[B1-C3]]*Tabela2[[#This Row],[ln(R/Rref)]]+Tabela2[[#This Row],[C1-C3]]*Tabela2[[#This Row],[ln²(R/Rref)]]))-273.15</f>
        <v>110.20808197598529</v>
      </c>
      <c r="X34" s="4">
        <v>3.3607340000000002E-3</v>
      </c>
      <c r="Y34" s="4">
        <v>3.5349200000000001E-4</v>
      </c>
      <c r="Z34" s="4">
        <v>2.301034E-4</v>
      </c>
      <c r="AA34" s="4">
        <v>1.6171649999999999E-4</v>
      </c>
      <c r="AB34" s="4">
        <f>(1/(Tabela2[[#This Row],[A1-C4]]+Tabela2[[#This Row],[B1-C4]]*Tabela2[[#This Row],[ln(R/Rref)]]+Tabela2[[#This Row],[C1-C4]]*Tabela2[[#This Row],[ln²(R/Rref)]]+Tabela2[[#This Row],[D1-C4]]*Tabela2[[#This Row],[ln³(R/Rref)]]))-273.15</f>
        <v>791.41199308920488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7" workbookViewId="0">
      <selection activeCell="F13" sqref="F13"/>
    </sheetView>
  </sheetViews>
  <sheetFormatPr defaultRowHeight="15" x14ac:dyDescent="0.25"/>
  <cols>
    <col min="1" max="1" width="13.7109375" customWidth="1"/>
    <col min="2" max="2" width="15.42578125" customWidth="1"/>
    <col min="3" max="3" width="11.5703125" customWidth="1"/>
    <col min="4" max="4" width="10.7109375" customWidth="1"/>
    <col min="5" max="5" width="12.5703125" customWidth="1"/>
    <col min="6" max="6" width="12.28515625" customWidth="1"/>
    <col min="7" max="7" width="12.5703125" bestFit="1" customWidth="1"/>
    <col min="8" max="8" width="12.28515625" bestFit="1" customWidth="1"/>
    <col min="9" max="9" width="12.5703125" bestFit="1" customWidth="1"/>
    <col min="10" max="10" width="9.85546875" customWidth="1"/>
    <col min="11" max="11" width="12.5703125" bestFit="1" customWidth="1"/>
    <col min="12" max="12" width="9.85546875" customWidth="1"/>
  </cols>
  <sheetData>
    <row r="1" spans="1:12" ht="30" x14ac:dyDescent="0.25">
      <c r="A1" s="15" t="s">
        <v>1</v>
      </c>
      <c r="B1" s="16" t="s">
        <v>0</v>
      </c>
      <c r="C1" s="14" t="s">
        <v>41</v>
      </c>
      <c r="D1" s="14" t="s">
        <v>33</v>
      </c>
      <c r="E1" s="14" t="s">
        <v>42</v>
      </c>
      <c r="F1" s="14" t="s">
        <v>34</v>
      </c>
      <c r="G1" s="14" t="s">
        <v>43</v>
      </c>
      <c r="H1" s="14" t="s">
        <v>35</v>
      </c>
      <c r="I1" s="14" t="s">
        <v>44</v>
      </c>
      <c r="J1" s="14" t="s">
        <v>36</v>
      </c>
      <c r="K1" s="14" t="s">
        <v>45</v>
      </c>
      <c r="L1" s="14" t="s">
        <v>37</v>
      </c>
    </row>
    <row r="2" spans="1:12" x14ac:dyDescent="0.25">
      <c r="A2" s="18">
        <v>33000</v>
      </c>
      <c r="B2" s="17">
        <v>0</v>
      </c>
      <c r="C2" s="8">
        <v>-0.27485369758960587</v>
      </c>
      <c r="D2" s="8">
        <f>ABS(B2-C2)</f>
        <v>0.27485369758960587</v>
      </c>
      <c r="E2" s="7">
        <v>1.6545598100492498E-6</v>
      </c>
      <c r="F2" s="7">
        <f>ABS(B2-E2)</f>
        <v>1.6545598100492498E-6</v>
      </c>
      <c r="G2" s="8">
        <v>6.0006725959738105E-5</v>
      </c>
      <c r="H2" s="8">
        <f>ABS(B2-G2)</f>
        <v>6.0006725959738105E-5</v>
      </c>
      <c r="I2" s="7">
        <v>3.7986052325552464</v>
      </c>
      <c r="J2" s="7">
        <f>ABS(B2-I2)</f>
        <v>3.7986052325552464</v>
      </c>
      <c r="K2" s="8">
        <v>-45.151764398302277</v>
      </c>
      <c r="L2" s="8">
        <f>ABS(B2-K2)</f>
        <v>45.151764398302277</v>
      </c>
    </row>
    <row r="3" spans="1:12" x14ac:dyDescent="0.25">
      <c r="A3" s="18">
        <v>14760</v>
      </c>
      <c r="B3" s="17">
        <v>17.5</v>
      </c>
      <c r="C3" s="8">
        <v>16.329975708672009</v>
      </c>
      <c r="D3" s="8">
        <f t="shared" ref="D3:D34" si="0">ABS(B3-C3)</f>
        <v>1.1700242913279908</v>
      </c>
      <c r="E3" s="7">
        <v>17.098157521711357</v>
      </c>
      <c r="F3" s="7">
        <f t="shared" ref="F3:F34" si="1">ABS(B3-E3)</f>
        <v>0.40184247828864272</v>
      </c>
      <c r="G3" s="8">
        <v>16.226045492089952</v>
      </c>
      <c r="H3" s="8">
        <f t="shared" ref="H3:H34" si="2">ABS(B3-G3)</f>
        <v>1.2739545079100481</v>
      </c>
      <c r="I3" s="7">
        <v>17.9591797715388</v>
      </c>
      <c r="J3" s="7">
        <f t="shared" ref="J3:J34" si="3">ABS(B3-I3)</f>
        <v>0.45917977153879974</v>
      </c>
      <c r="K3" s="8">
        <v>9.1138444295803538</v>
      </c>
      <c r="L3" s="8">
        <f t="shared" ref="L3:L34" si="4">ABS(B3-K3)</f>
        <v>8.3861555704196462</v>
      </c>
    </row>
    <row r="4" spans="1:12" x14ac:dyDescent="0.25">
      <c r="A4" s="18">
        <v>10050</v>
      </c>
      <c r="B4" s="17">
        <v>25</v>
      </c>
      <c r="C4" s="8">
        <v>24.886139568708018</v>
      </c>
      <c r="D4" s="8">
        <f t="shared" si="0"/>
        <v>0.11386043129198242</v>
      </c>
      <c r="E4" s="7">
        <v>25.843488720235257</v>
      </c>
      <c r="F4" s="7">
        <f t="shared" si="1"/>
        <v>0.84348872023525701</v>
      </c>
      <c r="G4" s="8">
        <v>24.8765892080242</v>
      </c>
      <c r="H4" s="8">
        <f t="shared" si="2"/>
        <v>0.12341079197580029</v>
      </c>
      <c r="I4" s="7">
        <v>25.778653265402227</v>
      </c>
      <c r="J4" s="7">
        <f t="shared" si="3"/>
        <v>0.77865326540222668</v>
      </c>
      <c r="K4" s="8">
        <v>24.24752186609868</v>
      </c>
      <c r="L4" s="8">
        <f t="shared" si="4"/>
        <v>0.75247813390132023</v>
      </c>
    </row>
    <row r="5" spans="1:12" x14ac:dyDescent="0.25">
      <c r="A5" s="18">
        <v>9020</v>
      </c>
      <c r="B5" s="17">
        <v>27</v>
      </c>
      <c r="C5" s="8">
        <v>27.372472590815107</v>
      </c>
      <c r="D5" s="8">
        <f t="shared" si="0"/>
        <v>0.3724725908151072</v>
      </c>
      <c r="E5" s="7">
        <v>28.375773181003296</v>
      </c>
      <c r="F5" s="7">
        <f t="shared" si="1"/>
        <v>1.3757731810032965</v>
      </c>
      <c r="G5" s="8">
        <v>27.414802029880036</v>
      </c>
      <c r="H5" s="8">
        <f t="shared" si="2"/>
        <v>0.41480202988003612</v>
      </c>
      <c r="I5" s="7">
        <v>28.117752561185569</v>
      </c>
      <c r="J5" s="7">
        <f t="shared" si="3"/>
        <v>1.1177525611855685</v>
      </c>
      <c r="K5" s="8">
        <v>27.462199171553095</v>
      </c>
      <c r="L5" s="8">
        <f t="shared" si="4"/>
        <v>0.46219917155309531</v>
      </c>
    </row>
    <row r="6" spans="1:12" x14ac:dyDescent="0.25">
      <c r="A6" s="18">
        <v>8250</v>
      </c>
      <c r="B6" s="17">
        <v>29</v>
      </c>
      <c r="C6" s="8">
        <v>29.451542522149566</v>
      </c>
      <c r="D6" s="8">
        <f t="shared" si="0"/>
        <v>0.45154252214956614</v>
      </c>
      <c r="E6" s="7">
        <v>30.490040654681366</v>
      </c>
      <c r="F6" s="7">
        <f t="shared" si="1"/>
        <v>1.4900406546813656</v>
      </c>
      <c r="G6" s="8">
        <v>29.543787148193076</v>
      </c>
      <c r="H6" s="8">
        <f t="shared" si="2"/>
        <v>0.54378714819307561</v>
      </c>
      <c r="I6" s="7">
        <v>30.096905375247388</v>
      </c>
      <c r="J6" s="7">
        <f t="shared" si="3"/>
        <v>1.0969053752473883</v>
      </c>
      <c r="K6" s="8">
        <v>29.871467336428452</v>
      </c>
      <c r="L6" s="8">
        <f t="shared" si="4"/>
        <v>0.8714673364284522</v>
      </c>
    </row>
    <row r="7" spans="1:12" x14ac:dyDescent="0.25">
      <c r="A7" s="18">
        <v>7740</v>
      </c>
      <c r="B7" s="17">
        <v>31</v>
      </c>
      <c r="C7" s="8">
        <v>30.953734530744612</v>
      </c>
      <c r="D7" s="8">
        <f t="shared" si="0"/>
        <v>4.6265469255388325E-2</v>
      </c>
      <c r="E7" s="7">
        <v>32.01580757296972</v>
      </c>
      <c r="F7" s="7">
        <f t="shared" si="1"/>
        <v>1.0158075729697202</v>
      </c>
      <c r="G7" s="8">
        <v>31.085258131963087</v>
      </c>
      <c r="H7" s="8">
        <f t="shared" si="2"/>
        <v>8.525813196308718E-2</v>
      </c>
      <c r="I7" s="7">
        <v>31.540084849186087</v>
      </c>
      <c r="J7" s="7">
        <f t="shared" si="3"/>
        <v>0.54008484918608701</v>
      </c>
      <c r="K7" s="8">
        <v>31.490475723548229</v>
      </c>
      <c r="L7" s="8">
        <f t="shared" si="4"/>
        <v>0.49047572354822933</v>
      </c>
    </row>
    <row r="8" spans="1:12" x14ac:dyDescent="0.25">
      <c r="A8" s="18">
        <v>7520</v>
      </c>
      <c r="B8" s="17">
        <v>32.200000000000003</v>
      </c>
      <c r="C8" s="8">
        <v>31.636819546722108</v>
      </c>
      <c r="D8" s="8">
        <f t="shared" si="0"/>
        <v>0.56318045327789434</v>
      </c>
      <c r="E8" s="7">
        <v>32.709092366471339</v>
      </c>
      <c r="F8" s="7">
        <f t="shared" si="1"/>
        <v>0.50909236647133582</v>
      </c>
      <c r="G8" s="8">
        <v>31.787001821625665</v>
      </c>
      <c r="H8" s="8">
        <f t="shared" si="2"/>
        <v>0.4129981783743375</v>
      </c>
      <c r="I8" s="7">
        <v>32.199999457199283</v>
      </c>
      <c r="J8" s="7">
        <f t="shared" si="3"/>
        <v>5.4280071992707235E-7</v>
      </c>
      <c r="K8" s="8">
        <v>32.200003336204759</v>
      </c>
      <c r="L8" s="8">
        <f t="shared" si="4"/>
        <v>3.3362047560103747E-6</v>
      </c>
    </row>
    <row r="9" spans="1:12" x14ac:dyDescent="0.25">
      <c r="A9" s="18">
        <v>7390</v>
      </c>
      <c r="B9" s="17">
        <v>32.6</v>
      </c>
      <c r="C9" s="8">
        <v>32.05121588142606</v>
      </c>
      <c r="D9" s="8">
        <f t="shared" si="0"/>
        <v>0.54878411857394127</v>
      </c>
      <c r="E9" s="7">
        <v>33.129516947853006</v>
      </c>
      <c r="F9" s="7">
        <f t="shared" si="1"/>
        <v>0.52951694785300418</v>
      </c>
      <c r="G9" s="8">
        <v>32.212943156498</v>
      </c>
      <c r="H9" s="8">
        <f t="shared" si="2"/>
        <v>0.38705684350200187</v>
      </c>
      <c r="I9" s="7">
        <v>32.601457066800549</v>
      </c>
      <c r="J9" s="7">
        <f t="shared" si="3"/>
        <v>1.4570668005475795E-3</v>
      </c>
      <c r="K9" s="8">
        <v>32.623631460048557</v>
      </c>
      <c r="L9" s="8">
        <f t="shared" si="4"/>
        <v>2.3631460048555653E-2</v>
      </c>
    </row>
    <row r="10" spans="1:12" x14ac:dyDescent="0.25">
      <c r="A10" s="18">
        <v>7300</v>
      </c>
      <c r="B10" s="17">
        <v>32.799999999999997</v>
      </c>
      <c r="C10" s="8">
        <v>32.342986147459158</v>
      </c>
      <c r="D10" s="8">
        <f t="shared" si="0"/>
        <v>0.45701385254083959</v>
      </c>
      <c r="E10" s="7">
        <v>33.425459126837495</v>
      </c>
      <c r="F10" s="7">
        <f t="shared" si="1"/>
        <v>0.62545912683749805</v>
      </c>
      <c r="G10" s="8">
        <v>32.512940131460141</v>
      </c>
      <c r="H10" s="8">
        <f t="shared" si="2"/>
        <v>0.28705986853985621</v>
      </c>
      <c r="I10" s="7">
        <v>32.884624070144412</v>
      </c>
      <c r="J10" s="7">
        <f t="shared" si="3"/>
        <v>8.4624070144414532E-2</v>
      </c>
      <c r="K10" s="8">
        <v>32.919134777868976</v>
      </c>
      <c r="L10" s="8">
        <f t="shared" si="4"/>
        <v>0.11913477786897886</v>
      </c>
    </row>
    <row r="11" spans="1:12" x14ac:dyDescent="0.25">
      <c r="A11" s="18">
        <v>7250</v>
      </c>
      <c r="B11" s="17">
        <v>33.1</v>
      </c>
      <c r="C11" s="8">
        <v>32.506851901949233</v>
      </c>
      <c r="D11" s="8">
        <f t="shared" si="0"/>
        <v>0.59314809805076862</v>
      </c>
      <c r="E11" s="7">
        <v>33.591641617030348</v>
      </c>
      <c r="F11" s="7">
        <f t="shared" si="1"/>
        <v>0.49164161703034637</v>
      </c>
      <c r="G11" s="8">
        <v>32.681460803867651</v>
      </c>
      <c r="H11" s="8">
        <f t="shared" si="2"/>
        <v>0.41853919613235036</v>
      </c>
      <c r="I11" s="7">
        <v>33.043841703099076</v>
      </c>
      <c r="J11" s="7">
        <f t="shared" si="3"/>
        <v>5.6158296900925109E-2</v>
      </c>
      <c r="K11" s="8">
        <v>33.084166506728536</v>
      </c>
      <c r="L11" s="8">
        <f t="shared" si="4"/>
        <v>1.5833493271465215E-2</v>
      </c>
    </row>
    <row r="12" spans="1:12" x14ac:dyDescent="0.25">
      <c r="A12" s="18">
        <v>7090</v>
      </c>
      <c r="B12" s="17">
        <v>33.799999999999997</v>
      </c>
      <c r="C12" s="8">
        <v>33.039979386762411</v>
      </c>
      <c r="D12" s="8">
        <f t="shared" si="0"/>
        <v>0.76002061323758596</v>
      </c>
      <c r="E12" s="7">
        <v>34.132175185953258</v>
      </c>
      <c r="F12" s="7">
        <f t="shared" si="1"/>
        <v>0.33217518595326112</v>
      </c>
      <c r="G12" s="8">
        <v>33.229899577937374</v>
      </c>
      <c r="H12" s="8">
        <f t="shared" si="2"/>
        <v>0.57010042206262312</v>
      </c>
      <c r="I12" s="7">
        <v>33.562761469058557</v>
      </c>
      <c r="J12" s="7">
        <f t="shared" si="3"/>
        <v>0.23723853094143976</v>
      </c>
      <c r="K12" s="8">
        <v>33.616862647665187</v>
      </c>
      <c r="L12" s="8">
        <f t="shared" si="4"/>
        <v>0.18313735233481054</v>
      </c>
    </row>
    <row r="13" spans="1:12" x14ac:dyDescent="0.25">
      <c r="A13" s="18">
        <v>6900</v>
      </c>
      <c r="B13" s="17">
        <v>33.9</v>
      </c>
      <c r="C13" s="8">
        <v>33.691111574519368</v>
      </c>
      <c r="D13" s="8">
        <f t="shared" si="0"/>
        <v>0.20888842548063025</v>
      </c>
      <c r="E13" s="7">
        <v>34.79207950217733</v>
      </c>
      <c r="F13" s="7">
        <f t="shared" si="1"/>
        <v>0.89207950217733156</v>
      </c>
      <c r="G13" s="8">
        <v>33.900063202661329</v>
      </c>
      <c r="H13" s="8">
        <f t="shared" si="2"/>
        <v>6.3202661330308274E-5</v>
      </c>
      <c r="I13" s="7">
        <v>34.198440550895384</v>
      </c>
      <c r="J13" s="7">
        <f t="shared" si="3"/>
        <v>0.29844055089538557</v>
      </c>
      <c r="K13" s="8">
        <v>34.2598484335183</v>
      </c>
      <c r="L13" s="8">
        <f t="shared" si="4"/>
        <v>0.35984843351830165</v>
      </c>
    </row>
    <row r="14" spans="1:12" x14ac:dyDescent="0.25">
      <c r="A14" s="18">
        <v>6850</v>
      </c>
      <c r="B14" s="17">
        <v>34.4</v>
      </c>
      <c r="C14" s="8">
        <v>33.865853090845349</v>
      </c>
      <c r="D14" s="8">
        <f t="shared" si="0"/>
        <v>0.53414690915465002</v>
      </c>
      <c r="E14" s="7">
        <v>34.969123862527852</v>
      </c>
      <c r="F14" s="7">
        <f t="shared" si="1"/>
        <v>0.56912386252785296</v>
      </c>
      <c r="G14" s="8">
        <v>34.079971236125857</v>
      </c>
      <c r="H14" s="8">
        <f t="shared" si="2"/>
        <v>0.32002876387414148</v>
      </c>
      <c r="I14" s="7">
        <v>34.36939071277601</v>
      </c>
      <c r="J14" s="7">
        <f t="shared" si="3"/>
        <v>3.0609287223988701E-2</v>
      </c>
      <c r="K14" s="8">
        <v>34.431193641054506</v>
      </c>
      <c r="L14" s="8">
        <f t="shared" si="4"/>
        <v>3.1193641054507282E-2</v>
      </c>
    </row>
    <row r="15" spans="1:12" x14ac:dyDescent="0.25">
      <c r="A15" s="18">
        <v>6830</v>
      </c>
      <c r="B15" s="17">
        <v>34.5</v>
      </c>
      <c r="C15" s="8">
        <v>33.936156038710806</v>
      </c>
      <c r="D15" s="8">
        <f t="shared" si="0"/>
        <v>0.56384396128919434</v>
      </c>
      <c r="E15" s="7">
        <v>35.040347167713378</v>
      </c>
      <c r="F15" s="7">
        <f t="shared" si="1"/>
        <v>0.54034716771337798</v>
      </c>
      <c r="G15" s="8">
        <v>34.152359641776229</v>
      </c>
      <c r="H15" s="8">
        <f t="shared" si="2"/>
        <v>0.34764035822377082</v>
      </c>
      <c r="I15" s="7">
        <v>34.438210787198273</v>
      </c>
      <c r="J15" s="7">
        <f t="shared" si="3"/>
        <v>6.1789212801727444E-2</v>
      </c>
      <c r="K15" s="8">
        <v>34.500002666184969</v>
      </c>
      <c r="L15" s="8">
        <f t="shared" si="4"/>
        <v>2.6661849688025541E-6</v>
      </c>
    </row>
    <row r="16" spans="1:12" x14ac:dyDescent="0.25">
      <c r="A16" s="18">
        <v>6650</v>
      </c>
      <c r="B16" s="17">
        <v>35</v>
      </c>
      <c r="C16" s="8">
        <v>34.57961042529746</v>
      </c>
      <c r="D16" s="8">
        <f t="shared" si="0"/>
        <v>0.4203895747025399</v>
      </c>
      <c r="E16" s="7">
        <v>35.692061329571231</v>
      </c>
      <c r="F16" s="7">
        <f t="shared" si="1"/>
        <v>0.69206132957123145</v>
      </c>
      <c r="G16" s="8">
        <v>34.815077787559062</v>
      </c>
      <c r="H16" s="8">
        <f t="shared" si="2"/>
        <v>0.18492221244093798</v>
      </c>
      <c r="I16" s="7">
        <v>35.069226189177186</v>
      </c>
      <c r="J16" s="7">
        <f t="shared" si="3"/>
        <v>6.922618917718637E-2</v>
      </c>
      <c r="K16" s="8">
        <v>35.126831365586554</v>
      </c>
      <c r="L16" s="8">
        <f t="shared" si="4"/>
        <v>0.12683136558655406</v>
      </c>
    </row>
    <row r="17" spans="1:12" x14ac:dyDescent="0.25">
      <c r="A17" s="18">
        <v>6630</v>
      </c>
      <c r="B17" s="17">
        <v>35.299999999999997</v>
      </c>
      <c r="C17" s="8">
        <v>34.652325500305949</v>
      </c>
      <c r="D17" s="8">
        <f t="shared" si="0"/>
        <v>0.64767449969404822</v>
      </c>
      <c r="E17" s="7">
        <v>35.76569120545571</v>
      </c>
      <c r="F17" s="7">
        <f t="shared" si="1"/>
        <v>0.46569120545571252</v>
      </c>
      <c r="G17" s="8">
        <v>34.889989225234501</v>
      </c>
      <c r="H17" s="8">
        <f t="shared" si="2"/>
        <v>0.41001077476549597</v>
      </c>
      <c r="I17" s="7">
        <v>35.140664109846796</v>
      </c>
      <c r="J17" s="7">
        <f t="shared" si="3"/>
        <v>0.15933589015320138</v>
      </c>
      <c r="K17" s="8">
        <v>35.19737758872003</v>
      </c>
      <c r="L17" s="8">
        <f t="shared" si="4"/>
        <v>0.10262241127996674</v>
      </c>
    </row>
    <row r="18" spans="1:12" x14ac:dyDescent="0.25">
      <c r="A18" s="18">
        <v>6730</v>
      </c>
      <c r="B18" s="17">
        <v>35.4</v>
      </c>
      <c r="C18" s="8">
        <v>34.291216370363372</v>
      </c>
      <c r="D18" s="8">
        <f t="shared" si="0"/>
        <v>1.1087836296366262</v>
      </c>
      <c r="E18" s="7">
        <v>35.400001844242013</v>
      </c>
      <c r="F18" s="7">
        <f t="shared" si="1"/>
        <v>1.8442420142150695E-6</v>
      </c>
      <c r="G18" s="8">
        <v>34.518011074318622</v>
      </c>
      <c r="H18" s="8">
        <f t="shared" si="2"/>
        <v>0.88198892568137666</v>
      </c>
      <c r="I18" s="7">
        <v>34.786154542351142</v>
      </c>
      <c r="J18" s="7">
        <f t="shared" si="3"/>
        <v>0.61384545764885701</v>
      </c>
      <c r="K18" s="8">
        <v>34.846499526385458</v>
      </c>
      <c r="L18" s="8">
        <f t="shared" si="4"/>
        <v>0.55350047361454102</v>
      </c>
    </row>
    <row r="19" spans="1:12" x14ac:dyDescent="0.25">
      <c r="A19" s="18">
        <v>6520</v>
      </c>
      <c r="B19" s="17">
        <v>35.5</v>
      </c>
      <c r="C19" s="8">
        <v>35.056767900856528</v>
      </c>
      <c r="D19" s="8">
        <f t="shared" si="0"/>
        <v>0.44323209914347217</v>
      </c>
      <c r="E19" s="7">
        <v>36.17515259410078</v>
      </c>
      <c r="F19" s="7">
        <f t="shared" si="1"/>
        <v>0.67515259410077988</v>
      </c>
      <c r="G19" s="8">
        <v>35.306716691208123</v>
      </c>
      <c r="H19" s="8">
        <f t="shared" si="2"/>
        <v>0.19328330879187661</v>
      </c>
      <c r="I19" s="7">
        <v>35.538479598598485</v>
      </c>
      <c r="J19" s="7">
        <f t="shared" si="3"/>
        <v>3.8479598598485154E-2</v>
      </c>
      <c r="K19" s="8">
        <v>35.588917700599779</v>
      </c>
      <c r="L19" s="8">
        <f t="shared" si="4"/>
        <v>8.8917700599779437E-2</v>
      </c>
    </row>
    <row r="20" spans="1:12" x14ac:dyDescent="0.25">
      <c r="A20" s="18">
        <v>6480</v>
      </c>
      <c r="B20" s="17">
        <v>36.200000000000003</v>
      </c>
      <c r="C20" s="8">
        <v>35.205765328087693</v>
      </c>
      <c r="D20" s="8">
        <f t="shared" si="0"/>
        <v>0.99423467191230941</v>
      </c>
      <c r="E20" s="7">
        <v>36.325969439897221</v>
      </c>
      <c r="F20" s="7">
        <f t="shared" si="1"/>
        <v>0.12596943989721865</v>
      </c>
      <c r="G20" s="8">
        <v>35.460268650359353</v>
      </c>
      <c r="H20" s="8">
        <f t="shared" si="2"/>
        <v>0.73973134964064968</v>
      </c>
      <c r="I20" s="7">
        <v>35.685239396181885</v>
      </c>
      <c r="J20" s="7">
        <f t="shared" si="3"/>
        <v>0.51476060381811806</v>
      </c>
      <c r="K20" s="8">
        <v>35.732859467069147</v>
      </c>
      <c r="L20" s="8">
        <f t="shared" si="4"/>
        <v>0.46714053293085556</v>
      </c>
    </row>
    <row r="21" spans="1:12" x14ac:dyDescent="0.25">
      <c r="A21" s="18">
        <v>6240</v>
      </c>
      <c r="B21" s="17">
        <v>36.6</v>
      </c>
      <c r="C21" s="8">
        <v>36.122292929774517</v>
      </c>
      <c r="D21" s="8">
        <f t="shared" si="0"/>
        <v>0.47770707022548464</v>
      </c>
      <c r="E21" s="7">
        <v>37.253337321909271</v>
      </c>
      <c r="F21" s="7">
        <f t="shared" si="1"/>
        <v>0.65333732190926952</v>
      </c>
      <c r="G21" s="8">
        <v>36.405131875330881</v>
      </c>
      <c r="H21" s="8">
        <f t="shared" si="2"/>
        <v>0.19486812466912085</v>
      </c>
      <c r="I21" s="7">
        <v>36.590417539601617</v>
      </c>
      <c r="J21" s="7">
        <f t="shared" si="3"/>
        <v>9.5824603983842849E-3</v>
      </c>
      <c r="K21" s="8">
        <v>36.616261373163809</v>
      </c>
      <c r="L21" s="8">
        <f t="shared" si="4"/>
        <v>1.6261373163807491E-2</v>
      </c>
    </row>
    <row r="22" spans="1:12" x14ac:dyDescent="0.25">
      <c r="A22" s="18">
        <v>6220</v>
      </c>
      <c r="B22" s="17">
        <v>36.9</v>
      </c>
      <c r="C22" s="8">
        <v>36.200474437919752</v>
      </c>
      <c r="D22" s="8">
        <f t="shared" si="0"/>
        <v>0.69952556208024674</v>
      </c>
      <c r="E22" s="7">
        <v>37.332415466566658</v>
      </c>
      <c r="F22" s="7">
        <f t="shared" si="1"/>
        <v>0.43241546656665975</v>
      </c>
      <c r="G22" s="8">
        <v>36.485754633490728</v>
      </c>
      <c r="H22" s="8">
        <f t="shared" si="2"/>
        <v>0.41424536650927024</v>
      </c>
      <c r="I22" s="7">
        <v>36.6678233462614</v>
      </c>
      <c r="J22" s="7">
        <f t="shared" si="3"/>
        <v>0.2321766537385983</v>
      </c>
      <c r="K22" s="8">
        <v>36.691551800305092</v>
      </c>
      <c r="L22" s="8">
        <f t="shared" si="4"/>
        <v>0.20844819969490658</v>
      </c>
    </row>
    <row r="23" spans="1:12" x14ac:dyDescent="0.25">
      <c r="A23" s="18">
        <v>6010</v>
      </c>
      <c r="B23" s="17">
        <v>37.5</v>
      </c>
      <c r="C23" s="8">
        <v>37.039066512081035</v>
      </c>
      <c r="D23" s="8">
        <f t="shared" si="0"/>
        <v>0.4609334879189646</v>
      </c>
      <c r="E23" s="7">
        <v>38.180346595073445</v>
      </c>
      <c r="F23" s="7">
        <f t="shared" si="1"/>
        <v>0.68034659507344486</v>
      </c>
      <c r="G23" s="8">
        <v>37.350751107092606</v>
      </c>
      <c r="H23" s="8">
        <f t="shared" si="2"/>
        <v>0.14924889290739429</v>
      </c>
      <c r="I23" s="7">
        <v>37.499999426635725</v>
      </c>
      <c r="J23" s="7">
        <f t="shared" si="3"/>
        <v>5.7336427516929689E-7</v>
      </c>
      <c r="K23" s="8">
        <v>37.500001530720795</v>
      </c>
      <c r="L23" s="8">
        <f t="shared" si="4"/>
        <v>1.5307207945625123E-6</v>
      </c>
    </row>
    <row r="24" spans="1:12" x14ac:dyDescent="0.25">
      <c r="A24" s="18">
        <v>5960</v>
      </c>
      <c r="B24" s="17">
        <v>37.799999999999997</v>
      </c>
      <c r="C24" s="8">
        <v>37.243650502344678</v>
      </c>
      <c r="D24" s="8">
        <f t="shared" si="0"/>
        <v>0.55634949765531871</v>
      </c>
      <c r="E24" s="7">
        <v>38.387131469870212</v>
      </c>
      <c r="F24" s="7">
        <f t="shared" si="1"/>
        <v>0.58713146987021503</v>
      </c>
      <c r="G24" s="8">
        <v>37.561834177498099</v>
      </c>
      <c r="H24" s="8">
        <f t="shared" si="2"/>
        <v>0.23816582250189811</v>
      </c>
      <c r="I24" s="7">
        <v>37.70354716024309</v>
      </c>
      <c r="J24" s="7">
        <f t="shared" si="3"/>
        <v>9.6452839756906883E-2</v>
      </c>
      <c r="K24" s="8">
        <v>37.69772890421234</v>
      </c>
      <c r="L24" s="8">
        <f t="shared" si="4"/>
        <v>0.10227109578765692</v>
      </c>
    </row>
    <row r="25" spans="1:12" x14ac:dyDescent="0.25">
      <c r="A25" s="18">
        <v>5700</v>
      </c>
      <c r="B25" s="17">
        <v>38.799999999999997</v>
      </c>
      <c r="C25" s="8">
        <v>38.339951462794886</v>
      </c>
      <c r="D25" s="8">
        <f t="shared" si="0"/>
        <v>0.46004853720511107</v>
      </c>
      <c r="E25" s="7">
        <v>39.494706197628147</v>
      </c>
      <c r="F25" s="7">
        <f t="shared" si="1"/>
        <v>0.69470619762815033</v>
      </c>
      <c r="G25" s="8">
        <v>38.693302648353153</v>
      </c>
      <c r="H25" s="8">
        <f t="shared" si="2"/>
        <v>0.10669735164684369</v>
      </c>
      <c r="I25" s="7">
        <v>38.797834777335254</v>
      </c>
      <c r="J25" s="7">
        <f t="shared" si="3"/>
        <v>2.1652226647432826E-3</v>
      </c>
      <c r="K25" s="8">
        <v>38.763856070651684</v>
      </c>
      <c r="L25" s="8">
        <f t="shared" si="4"/>
        <v>3.6143929348313009E-2</v>
      </c>
    </row>
    <row r="26" spans="1:12" x14ac:dyDescent="0.25">
      <c r="A26" s="18">
        <v>5630</v>
      </c>
      <c r="B26" s="17">
        <v>39.700000000000003</v>
      </c>
      <c r="C26" s="8">
        <v>38.644858897675249</v>
      </c>
      <c r="D26" s="8">
        <f t="shared" si="0"/>
        <v>1.0551411023247539</v>
      </c>
      <c r="E26" s="7">
        <v>39.802592822560314</v>
      </c>
      <c r="F26" s="7">
        <f t="shared" si="1"/>
        <v>0.10259282256031099</v>
      </c>
      <c r="G26" s="8">
        <v>39.008083582689721</v>
      </c>
      <c r="H26" s="8">
        <f t="shared" si="2"/>
        <v>0.69191641731028142</v>
      </c>
      <c r="I26" s="7">
        <v>39.103243687379063</v>
      </c>
      <c r="J26" s="7">
        <f t="shared" si="3"/>
        <v>0.59675631262093987</v>
      </c>
      <c r="K26" s="8">
        <v>39.063065660660925</v>
      </c>
      <c r="L26" s="8">
        <f t="shared" si="4"/>
        <v>0.63693433933907784</v>
      </c>
    </row>
    <row r="27" spans="1:12" x14ac:dyDescent="0.25">
      <c r="A27" s="18">
        <v>5330</v>
      </c>
      <c r="B27" s="17">
        <v>40.1</v>
      </c>
      <c r="C27" s="8">
        <v>40.002351398354733</v>
      </c>
      <c r="D27" s="8">
        <f t="shared" si="0"/>
        <v>9.7648601645268229E-2</v>
      </c>
      <c r="E27" s="7">
        <v>41.172518850305778</v>
      </c>
      <c r="F27" s="7">
        <f t="shared" si="1"/>
        <v>1.0725188503057765</v>
      </c>
      <c r="G27" s="8">
        <v>40.409936907834435</v>
      </c>
      <c r="H27" s="8">
        <f t="shared" si="2"/>
        <v>0.30993690783443384</v>
      </c>
      <c r="I27" s="7">
        <v>40.468585237434809</v>
      </c>
      <c r="J27" s="7">
        <f t="shared" si="3"/>
        <v>0.36858523743480731</v>
      </c>
      <c r="K27" s="8">
        <v>40.415974119218447</v>
      </c>
      <c r="L27" s="8">
        <f t="shared" si="4"/>
        <v>0.31597411921844554</v>
      </c>
    </row>
    <row r="28" spans="1:12" x14ac:dyDescent="0.25">
      <c r="A28" s="18">
        <v>5180</v>
      </c>
      <c r="B28" s="17">
        <v>41.4</v>
      </c>
      <c r="C28" s="8">
        <v>40.714142351169869</v>
      </c>
      <c r="D28" s="8">
        <f t="shared" si="0"/>
        <v>0.68585764883012956</v>
      </c>
      <c r="E28" s="7">
        <v>41.890284773565099</v>
      </c>
      <c r="F28" s="7">
        <f t="shared" si="1"/>
        <v>0.49028477356510081</v>
      </c>
      <c r="G28" s="8">
        <v>41.145202620883765</v>
      </c>
      <c r="H28" s="8">
        <f t="shared" si="2"/>
        <v>0.25479737911623346</v>
      </c>
      <c r="I28" s="7">
        <v>41.188163203708257</v>
      </c>
      <c r="J28" s="7">
        <f t="shared" si="3"/>
        <v>0.21183679629174179</v>
      </c>
      <c r="K28" s="8">
        <v>41.142583992441018</v>
      </c>
      <c r="L28" s="8">
        <f t="shared" si="4"/>
        <v>0.2574160075589802</v>
      </c>
    </row>
    <row r="29" spans="1:12" x14ac:dyDescent="0.25">
      <c r="A29" s="18">
        <v>5070</v>
      </c>
      <c r="B29" s="17">
        <v>41.7</v>
      </c>
      <c r="C29" s="8">
        <v>41.251217232821261</v>
      </c>
      <c r="D29" s="8">
        <f t="shared" si="0"/>
        <v>0.44878276717874144</v>
      </c>
      <c r="E29" s="7">
        <v>42.431618805278276</v>
      </c>
      <c r="F29" s="7">
        <f t="shared" si="1"/>
        <v>0.7316188052782735</v>
      </c>
      <c r="G29" s="8">
        <v>41.700063838357551</v>
      </c>
      <c r="H29" s="8">
        <f t="shared" si="2"/>
        <v>6.3838357547751912E-5</v>
      </c>
      <c r="I29" s="7">
        <v>41.732788536598093</v>
      </c>
      <c r="J29" s="7">
        <f t="shared" si="3"/>
        <v>3.2788536598090445E-2</v>
      </c>
      <c r="K29" s="8">
        <v>41.700503401889875</v>
      </c>
      <c r="L29" s="8">
        <f t="shared" si="4"/>
        <v>5.0340188987263446E-4</v>
      </c>
    </row>
    <row r="30" spans="1:12" x14ac:dyDescent="0.25">
      <c r="A30" s="18">
        <v>4920</v>
      </c>
      <c r="B30" s="17">
        <v>42.5</v>
      </c>
      <c r="C30" s="8">
        <v>42.005390556371538</v>
      </c>
      <c r="D30" s="8">
        <f t="shared" si="0"/>
        <v>0.49460944362846249</v>
      </c>
      <c r="E30" s="7">
        <v>43.191409712074119</v>
      </c>
      <c r="F30" s="7">
        <f t="shared" si="1"/>
        <v>0.69140971207411894</v>
      </c>
      <c r="G30" s="8">
        <v>42.479293531484416</v>
      </c>
      <c r="H30" s="8">
        <f t="shared" si="2"/>
        <v>2.070646851558422E-2</v>
      </c>
      <c r="I30" s="7">
        <v>42.499999400694151</v>
      </c>
      <c r="J30" s="7">
        <f t="shared" si="3"/>
        <v>5.9930584939138498E-7</v>
      </c>
      <c r="K30" s="8">
        <v>42.499999074992729</v>
      </c>
      <c r="L30" s="8">
        <f t="shared" si="4"/>
        <v>9.2500727078004275E-7</v>
      </c>
    </row>
    <row r="31" spans="1:12" x14ac:dyDescent="0.25">
      <c r="A31" s="18">
        <v>4860</v>
      </c>
      <c r="B31" s="17">
        <v>42.7</v>
      </c>
      <c r="C31" s="8">
        <v>42.314431894127893</v>
      </c>
      <c r="D31" s="8">
        <f t="shared" si="0"/>
        <v>0.38556810587211032</v>
      </c>
      <c r="E31" s="7">
        <v>43.502630067315863</v>
      </c>
      <c r="F31" s="7">
        <f t="shared" si="1"/>
        <v>0.80263006731586017</v>
      </c>
      <c r="G31" s="8">
        <v>42.798622317712272</v>
      </c>
      <c r="H31" s="8">
        <f t="shared" si="2"/>
        <v>9.8622317712269592E-2</v>
      </c>
      <c r="I31" s="7">
        <v>42.815205714840317</v>
      </c>
      <c r="J31" s="7">
        <f t="shared" si="3"/>
        <v>0.1152057148403145</v>
      </c>
      <c r="K31" s="8">
        <v>42.833572467802867</v>
      </c>
      <c r="L31" s="8">
        <f t="shared" si="4"/>
        <v>0.13357246780286403</v>
      </c>
    </row>
    <row r="32" spans="1:12" x14ac:dyDescent="0.25">
      <c r="A32" s="18">
        <v>4640</v>
      </c>
      <c r="B32" s="17">
        <v>43</v>
      </c>
      <c r="C32" s="8">
        <v>43.485984586129234</v>
      </c>
      <c r="D32" s="8">
        <f t="shared" si="0"/>
        <v>0.48598458612923423</v>
      </c>
      <c r="E32" s="7">
        <v>44.681791565729327</v>
      </c>
      <c r="F32" s="7">
        <f t="shared" si="1"/>
        <v>1.681791565729327</v>
      </c>
      <c r="G32" s="8">
        <v>44.00922701876209</v>
      </c>
      <c r="H32" s="8">
        <f t="shared" si="2"/>
        <v>1.0092270187620898</v>
      </c>
      <c r="I32" s="7">
        <v>44.014478483066398</v>
      </c>
      <c r="J32" s="7">
        <f t="shared" si="3"/>
        <v>1.014478483066398</v>
      </c>
      <c r="K32" s="8">
        <v>44.133592854631729</v>
      </c>
      <c r="L32" s="8">
        <f t="shared" si="4"/>
        <v>1.1335928546317291</v>
      </c>
    </row>
    <row r="33" spans="1:12" x14ac:dyDescent="0.25">
      <c r="A33" s="18">
        <v>4240</v>
      </c>
      <c r="B33" s="17">
        <v>45.5</v>
      </c>
      <c r="C33" s="8">
        <v>45.787973763297316</v>
      </c>
      <c r="D33" s="8">
        <f t="shared" si="0"/>
        <v>0.28797376329731605</v>
      </c>
      <c r="E33" s="7">
        <v>46.995706129857638</v>
      </c>
      <c r="F33" s="7">
        <f t="shared" si="1"/>
        <v>1.4957061298576377</v>
      </c>
      <c r="G33" s="8">
        <v>46.387788767498932</v>
      </c>
      <c r="H33" s="8">
        <f t="shared" si="2"/>
        <v>0.88778876749893243</v>
      </c>
      <c r="I33" s="7">
        <v>46.391039390555875</v>
      </c>
      <c r="J33" s="7">
        <f t="shared" si="3"/>
        <v>0.89103939055587489</v>
      </c>
      <c r="K33" s="8">
        <v>46.882768583238317</v>
      </c>
      <c r="L33" s="8">
        <f t="shared" si="4"/>
        <v>1.3827685832383168</v>
      </c>
    </row>
    <row r="34" spans="1:12" x14ac:dyDescent="0.25">
      <c r="A34" s="18">
        <v>682</v>
      </c>
      <c r="B34" s="17">
        <v>100</v>
      </c>
      <c r="C34" s="8">
        <v>99.763234935099149</v>
      </c>
      <c r="D34" s="8">
        <f t="shared" si="0"/>
        <v>0.23676506490085103</v>
      </c>
      <c r="E34" s="7">
        <v>100.00000663171141</v>
      </c>
      <c r="F34" s="7">
        <f t="shared" si="1"/>
        <v>6.631711414684105E-6</v>
      </c>
      <c r="G34" s="8">
        <v>100.00006807787202</v>
      </c>
      <c r="H34" s="8">
        <f t="shared" si="2"/>
        <v>6.8077872015237517E-5</v>
      </c>
      <c r="I34" s="7">
        <v>110.20808197598529</v>
      </c>
      <c r="J34" s="7">
        <f t="shared" si="3"/>
        <v>10.208081975985294</v>
      </c>
      <c r="K34" s="8">
        <v>791.41199308920488</v>
      </c>
      <c r="L34" s="8">
        <f t="shared" si="4"/>
        <v>691.41199308920488</v>
      </c>
    </row>
    <row r="35" spans="1:12" x14ac:dyDescent="0.25">
      <c r="A35" s="12" t="s">
        <v>38</v>
      </c>
      <c r="B35" s="12"/>
      <c r="C35" s="12"/>
      <c r="D35" s="11">
        <f>AVERAGE(Tabela3[Erro_D])</f>
        <v>0.51834106509139799</v>
      </c>
      <c r="E35" s="13"/>
      <c r="F35" s="11">
        <f>AVERAGE(Tabela3[Erro_C1])</f>
        <v>0.65732614730347327</v>
      </c>
      <c r="G35" s="13"/>
      <c r="H35" s="11">
        <f>AVERAGE(Tabela3[Erro_C2])</f>
        <v>0.36275905371371731</v>
      </c>
      <c r="I35" s="13"/>
      <c r="J35" s="11">
        <f>AVERAGE(Tabela3[Erro_C3])</f>
        <v>0.71928173180734944</v>
      </c>
      <c r="K35" s="13"/>
      <c r="L35" s="11">
        <f>AVERAGE(Tabela3[Erro_C4])</f>
        <v>22.843097572583574</v>
      </c>
    </row>
    <row r="36" spans="1:12" x14ac:dyDescent="0.25">
      <c r="A36" s="6" t="s">
        <v>40</v>
      </c>
      <c r="B36" s="6"/>
      <c r="C36" s="6"/>
      <c r="D36" s="10">
        <f>STDEVA(Tabela3[Erro_D])</f>
        <v>0.27181498589445979</v>
      </c>
      <c r="E36" s="9"/>
      <c r="F36" s="10">
        <f>STDEVA(Tabela3[Erro_C1])</f>
        <v>0.42017752737439945</v>
      </c>
      <c r="G36" s="9"/>
      <c r="H36" s="10">
        <f>STDEVA(Tabela3[Erro_C2])</f>
        <v>0.31712495806752489</v>
      </c>
      <c r="I36" s="9"/>
      <c r="J36" s="10">
        <f>STDEVA(Tabela3[Erro_C3])</f>
        <v>1.8404665725201546</v>
      </c>
      <c r="K36" s="9"/>
      <c r="L36" s="10">
        <f>STDEVA(Tabela3[Erro_C4])</f>
        <v>120.27913878735458</v>
      </c>
    </row>
    <row r="37" spans="1:12" x14ac:dyDescent="0.25">
      <c r="A37" s="6" t="s">
        <v>39</v>
      </c>
      <c r="B37" s="6"/>
      <c r="C37" s="6"/>
      <c r="D37" s="10">
        <f>AVERAGE(D7:D32)</f>
        <v>0.54606779948629669</v>
      </c>
      <c r="E37" s="9"/>
      <c r="F37" s="10">
        <f>AVERAGE(F7:F32)</f>
        <v>0.61865013117989198</v>
      </c>
      <c r="G37" s="9"/>
      <c r="H37" s="10">
        <f>AVERAGE(H7:H32)</f>
        <v>0.33566067086526163</v>
      </c>
      <c r="I37" s="9"/>
      <c r="J37" s="10">
        <f>AVERAGE(J7:J32)</f>
        <v>0.20715690681431281</v>
      </c>
      <c r="K37" s="9"/>
      <c r="L37" s="10">
        <f>AVERAGE(L7:L32)</f>
        <v>0.20782283123884573</v>
      </c>
    </row>
    <row r="38" spans="1:12" x14ac:dyDescent="0.25">
      <c r="A38" s="6" t="s">
        <v>40</v>
      </c>
      <c r="B38" s="6"/>
      <c r="C38" s="6"/>
      <c r="D38" s="10">
        <f>STDEVA(D7:D32)</f>
        <v>0.24808101899633769</v>
      </c>
      <c r="E38" s="9"/>
      <c r="F38" s="10">
        <f>STDEVA(F7:F32)</f>
        <v>0.33070517536451816</v>
      </c>
      <c r="G38" s="9"/>
      <c r="H38" s="10">
        <f>STDEVA(H7:H32)</f>
        <v>0.26361299939541571</v>
      </c>
      <c r="I38" s="9"/>
      <c r="J38" s="10">
        <f>STDEVA(J7:J32)</f>
        <v>0.25717404100158509</v>
      </c>
      <c r="K38" s="9"/>
      <c r="L38" s="10">
        <f>STDEVA(L7:L32)</f>
        <v>0.26727317631846775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calculos_1</vt:lpstr>
      <vt:lpstr>calculos_2</vt:lpstr>
      <vt:lpstr>calculos_3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2021-08-14T20:04:35Z</dcterms:created>
  <dcterms:modified xsi:type="dcterms:W3CDTF">2021-08-18T05:22:16Z</dcterms:modified>
</cp:coreProperties>
</file>