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Y:\2291\MI Calc - 2291\"/>
    </mc:Choice>
  </mc:AlternateContent>
  <xr:revisionPtr revIDLastSave="0" documentId="13_ncr:1_{0559FE00-A08E-4B1E-96D6-D96F4EB8E4FF}" xr6:coauthVersionLast="47" xr6:coauthVersionMax="47" xr10:uidLastSave="{00000000-0000-0000-0000-000000000000}"/>
  <bookViews>
    <workbookView xWindow="-28910" yWindow="-110" windowWidth="29020" windowHeight="15700" tabRatio="768" firstSheet="6" activeTab="16" xr2:uid="{00000000-000D-0000-FFFF-FFFF00000000}"/>
  </bookViews>
  <sheets>
    <sheet name="ULS Load Combination" sheetId="1" r:id="rId1"/>
    <sheet name="SLS Load Combinations" sheetId="2" r:id="rId2"/>
    <sheet name="LoadComb Lifting + Transportati" sheetId="3" r:id="rId3"/>
    <sheet name="Dead &amp; Live Loads" sheetId="4" r:id="rId4"/>
    <sheet name="Wind, Snow &amp; Seismic (Building)" sheetId="5" r:id="rId5"/>
    <sheet name="Wind, Snow &amp; Seismic (Piperack)" sheetId="17" r:id="rId6"/>
    <sheet name="Table C-1 (NBCC 2020)" sheetId="16" r:id="rId7"/>
    <sheet name="Table C-2 (NBCC 2020)" sheetId="7" r:id="rId8"/>
    <sheet name="Look Up" sheetId="6" r:id="rId9"/>
    <sheet name="Calcs" sheetId="8" r:id="rId10"/>
    <sheet name="Query" sheetId="9" r:id="rId11"/>
    <sheet name="Seismic Loads" sheetId="10" r:id="rId12"/>
    <sheet name="Wind Distributation" sheetId="11" r:id="rId13"/>
    <sheet name="Tie-Ins" sheetId="12" r:id="rId14"/>
    <sheet name="Crane Loads" sheetId="13" r:id="rId15"/>
    <sheet name="Site Data" sheetId="14" r:id="rId16"/>
    <sheet name="Lifting Lugs" sheetId="18" r:id="rId17"/>
  </sheets>
  <functionGroups builtInGroupCount="19"/>
  <externalReferences>
    <externalReference r:id="rId18"/>
    <externalReference r:id="rId19"/>
  </externalReferences>
  <definedNames>
    <definedName name="_xlnm._FilterDatabase" localSheetId="7" hidden="1">'Table C-2 (NBCC 2020)'!$A$1:$R$679</definedName>
    <definedName name="_xleta.T" hidden="1" xlm="1">#NAME?</definedName>
    <definedName name="_xleta.WEBSERVICE" hidden="1" xlm="1">#NAME?</definedName>
    <definedName name="_xlpm.a" hidden="1" xlm="1">#NAME?</definedName>
    <definedName name="_xlpm.b" hidden="1" xlm="1">#NAME?</definedName>
    <definedName name="_xlpm.dλ" hidden="1" xlm="1">#NAME?</definedName>
    <definedName name="_xlpm.dφ" hidden="1" xlm="1">#NAME?</definedName>
    <definedName name="_xlpm.t" hidden="1" xlm="1">#NAME?</definedName>
    <definedName name="_xlpm.λ1" hidden="1" xlm="1">#NAME?</definedName>
    <definedName name="_xlpm.λ2" hidden="1" xlm="1">#NAME?</definedName>
    <definedName name="_xlpm.φ1" hidden="1" xlm="1">#NAME?</definedName>
    <definedName name="_xlpm.φ2" hidden="1" xlm="1">#NAME?</definedName>
    <definedName name="All_Cities">[1]Lookup!$B$2:$B$679</definedName>
    <definedName name="Cities_Alberta">Query!$C$2:$C$135</definedName>
    <definedName name="Cities_BritishColumbia">Query!$B$2:$B$27</definedName>
    <definedName name="Cities_Manitoba">Query!$E$2:$E$25</definedName>
    <definedName name="Cities_NorthwestTerritories">Query!$K$2:$K$18</definedName>
    <definedName name="Cities_NovaScotia">Query!$H$2:$H$26</definedName>
    <definedName name="Cities_Nunavut">Query!$L$2:$L$17</definedName>
    <definedName name="Cities_Ontario">Query!$F$2:$F$228</definedName>
    <definedName name="Cities_PrinceEdwardIsland">Query!$I$2:$I$23</definedName>
    <definedName name="Cities_Quebec">Query!$G$2:$G$142</definedName>
    <definedName name="Cities_Saskatchewan">Query!$D$2:$D$32</definedName>
    <definedName name="Cities_Yukon">Query!$J$2:$J$10</definedName>
    <definedName name="CityKey">Query!$M$2:$M$679</definedName>
    <definedName name="Data_15_min_Rain_mm">'Table C-2 (NBCC 2020)'!$I$2:$I$679</definedName>
    <definedName name="Data_Ann_Total_Ppn_mm">'Table C-2 (NBCC 2020)'!$M$2:$M$679</definedName>
    <definedName name="Data_Annual_Rain_mm">'Table C-2 (NBCC 2020)'!$K$2:$K$679</definedName>
    <definedName name="Data_Degree_Days_18_C">'Table C-2 (NBCC 2020)'!$H$2:$H$679</definedName>
    <definedName name="Data_Driving_Rain_Pressure_Pa_1_5">'Table C-2 (NBCC 2020)'!$N$2:$N$679</definedName>
    <definedName name="Data_Elev_m">'Table C-2 (NBCC 2020)'!$C$2:$C$679</definedName>
    <definedName name="Data_Hourly_Wind_kPa_1_10">'Table C-2 (NBCC 2020)'!$Q$2:$Q$679</definedName>
    <definedName name="Data_Hourly_Wind_kPa_1_50">'Table C-2 (NBCC 2020)'!$R$2:$R$679</definedName>
    <definedName name="Data_Jan_1_C">'Table C-2 (NBCC 2020)'!$E$2:$E$679</definedName>
    <definedName name="Data_Jan_2_5_C">'Table C-2 (NBCC 2020)'!$D$2:$D$679</definedName>
    <definedName name="Data_Jul_2_5_Dry_C">'Table C-2 (NBCC 2020)'!$F$2:$F$679</definedName>
    <definedName name="Data_Jul_2_5_Wet_C">'Table C-2 (NBCC 2020)'!$G$2:$G$679</definedName>
    <definedName name="Data_Moist_Index">'Table C-2 (NBCC 2020)'!$L$2:$L$679</definedName>
    <definedName name="Data_One_Day_Rain_1_50_mm">'Table C-2 (NBCC 2020)'!$J$2:$J$679</definedName>
    <definedName name="Data_Province">'Table C-2 (NBCC 2020)'!$A$2:$A$679</definedName>
    <definedName name="Data_Province_and_Location">'Table C-2 (NBCC 2020)'!$B$2:$B$679</definedName>
    <definedName name="Data_Snow_Sr_kPa_1_50">'Table C-2 (NBCC 2020)'!$P$2:$P$679</definedName>
    <definedName name="Data_Snow_Ss_kPa_1_50">'Table C-2 (NBCC 2020)'!$O$2:$O$679</definedName>
    <definedName name="MainOptions" localSheetId="3">'[2]Wind,Snow,seismic'!$C$132</definedName>
    <definedName name="MainOptions" localSheetId="1">'[2]Wind,Snow,seismic'!$C$132</definedName>
    <definedName name="MainOptions" localSheetId="0">'[2]Wind,Snow,seismic'!$C$132</definedName>
    <definedName name="MainOptions" localSheetId="12">'[2]Wind,Snow,seismic'!$C$132</definedName>
    <definedName name="MainOptions" localSheetId="5">'Wind, Snow &amp; Seismic (Piperack)'!#REF!</definedName>
    <definedName name="MainOptions">'Wind, Snow &amp; Seismic (Building)'!#REF!</definedName>
    <definedName name="Primary" localSheetId="4">'Wind, Snow &amp; Seismic (Building)'!$C$188:$G$188</definedName>
    <definedName name="Primary" localSheetId="5">'Wind, Snow &amp; Seismic (Piperack)'!$C$185:$G$185</definedName>
    <definedName name="_xlnm.Print_Area" localSheetId="15">'Site Data'!$A$1:$M$58</definedName>
    <definedName name="_xlnm.Print_Area" localSheetId="12">'Wind Distributation'!$A$1:$AJ$48</definedName>
    <definedName name="_xlnm.Print_Area" localSheetId="4">'Wind, Snow &amp; Seismic (Building)'!$A$1:$S$550</definedName>
    <definedName name="_xlnm.Print_Area" localSheetId="5">'Wind, Snow &amp; Seismic (Piperack)'!$A$1:$AA$480</definedName>
    <definedName name="Province_List">Query!$A$2:$A$12</definedName>
    <definedName name="Secondary" localSheetId="4">'Wind, Snow &amp; Seismic (Building)'!$C$191:$L$191</definedName>
    <definedName name="Secondary" localSheetId="5">'Wind, Snow &amp; Seismic (Piperack)'!$C$188:$L$188</definedName>
    <definedName name="Select_the_Following" localSheetId="4">'Wind, Snow &amp; Seismic (Building)'!#REF!</definedName>
    <definedName name="Select_the_Following" localSheetId="5">'Wind, Snow &amp; Seismic (Piperack)'!#REF!</definedName>
    <definedName name="Table_C1">'Table C-1 (NBCC 2020)'!$A$1:$B$153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99" i="17" l="1"/>
  <c r="L171" i="17"/>
  <c r="M108" i="5" l="1"/>
  <c r="L11" i="17" l="1"/>
  <c r="D138" i="17" s="1"/>
  <c r="K426" i="17"/>
  <c r="K376" i="17"/>
  <c r="F331" i="17"/>
  <c r="G328" i="17" s="1"/>
  <c r="L325" i="17" s="1"/>
  <c r="G309" i="17"/>
  <c r="D257" i="17"/>
  <c r="D256" i="17"/>
  <c r="D255" i="17"/>
  <c r="D254" i="17"/>
  <c r="D253" i="17"/>
  <c r="F247" i="17"/>
  <c r="G245" i="17"/>
  <c r="D245" i="17"/>
  <c r="E210" i="17"/>
  <c r="E209" i="17"/>
  <c r="L182" i="17"/>
  <c r="G157" i="17"/>
  <c r="K146" i="17"/>
  <c r="L120" i="17"/>
  <c r="G95" i="17"/>
  <c r="H50" i="17"/>
  <c r="E50" i="17"/>
  <c r="L38" i="17"/>
  <c r="D18" i="17"/>
  <c r="N17" i="17" s="1"/>
  <c r="P144" i="5"/>
  <c r="D21" i="5"/>
  <c r="U20" i="5" s="1"/>
  <c r="L44" i="5" s="1"/>
  <c r="E111" i="13"/>
  <c r="F85" i="13"/>
  <c r="F63" i="13"/>
  <c r="D39" i="13"/>
  <c r="D27" i="13"/>
  <c r="D41" i="13" s="1"/>
  <c r="D8" i="13"/>
  <c r="O35" i="11"/>
  <c r="N35" i="11"/>
  <c r="M35" i="11"/>
  <c r="L35" i="11"/>
  <c r="K35" i="11"/>
  <c r="J35" i="11"/>
  <c r="I35" i="11"/>
  <c r="H35" i="11"/>
  <c r="G35" i="11"/>
  <c r="F35" i="11"/>
  <c r="E35" i="11"/>
  <c r="D35" i="11"/>
  <c r="O34" i="11"/>
  <c r="N34" i="11"/>
  <c r="M34" i="11"/>
  <c r="L34" i="11"/>
  <c r="K34" i="11"/>
  <c r="J34" i="11"/>
  <c r="I34" i="11"/>
  <c r="H34" i="11"/>
  <c r="G34" i="11"/>
  <c r="F34" i="11"/>
  <c r="E34" i="11"/>
  <c r="D34" i="11"/>
  <c r="C34" i="11"/>
  <c r="O33" i="11"/>
  <c r="N33" i="11"/>
  <c r="M33" i="11"/>
  <c r="L33" i="11"/>
  <c r="K33" i="11"/>
  <c r="J33" i="11"/>
  <c r="I33" i="11"/>
  <c r="H33" i="11"/>
  <c r="G33" i="11"/>
  <c r="F33" i="11"/>
  <c r="E33" i="11"/>
  <c r="D33" i="11"/>
  <c r="O32" i="11"/>
  <c r="N32" i="11"/>
  <c r="M32" i="11"/>
  <c r="L32" i="11"/>
  <c r="K32" i="11"/>
  <c r="J32" i="11"/>
  <c r="I32" i="11"/>
  <c r="H32" i="11"/>
  <c r="G32" i="11"/>
  <c r="F32" i="11"/>
  <c r="E32" i="11"/>
  <c r="D32" i="11"/>
  <c r="O25" i="11"/>
  <c r="N25" i="11"/>
  <c r="M25" i="11"/>
  <c r="L25" i="11"/>
  <c r="K25" i="11"/>
  <c r="J25" i="11"/>
  <c r="I25" i="11"/>
  <c r="H25" i="11"/>
  <c r="G25" i="11"/>
  <c r="F25" i="11"/>
  <c r="E25" i="11"/>
  <c r="D25" i="11"/>
  <c r="C24" i="11"/>
  <c r="O23" i="11"/>
  <c r="N23" i="11"/>
  <c r="M23" i="11"/>
  <c r="L23" i="11"/>
  <c r="K23" i="11"/>
  <c r="J23" i="11"/>
  <c r="I23" i="11"/>
  <c r="H23" i="11"/>
  <c r="G23" i="11"/>
  <c r="F23" i="11"/>
  <c r="E23" i="11"/>
  <c r="D23" i="11"/>
  <c r="O22" i="11"/>
  <c r="N22" i="11"/>
  <c r="M22" i="11"/>
  <c r="L22" i="11"/>
  <c r="K22" i="11"/>
  <c r="J22" i="11"/>
  <c r="I22" i="11"/>
  <c r="H22" i="11"/>
  <c r="G22" i="11"/>
  <c r="F22" i="11"/>
  <c r="E22" i="11"/>
  <c r="D22" i="11"/>
  <c r="AH17" i="11"/>
  <c r="F14" i="11"/>
  <c r="F15" i="11" s="1"/>
  <c r="O8" i="11"/>
  <c r="O24" i="11" s="1"/>
  <c r="N8" i="11"/>
  <c r="N24" i="11" s="1"/>
  <c r="M8" i="11"/>
  <c r="M24" i="11" s="1"/>
  <c r="L8" i="11"/>
  <c r="L24" i="11" s="1"/>
  <c r="K8" i="11"/>
  <c r="K24" i="11" s="1"/>
  <c r="J8" i="11"/>
  <c r="J24" i="11" s="1"/>
  <c r="I8" i="11"/>
  <c r="I24" i="11" s="1"/>
  <c r="H8" i="11"/>
  <c r="H24" i="11" s="1"/>
  <c r="G8" i="11"/>
  <c r="G24" i="11" s="1"/>
  <c r="F8" i="11"/>
  <c r="F24" i="11" s="1"/>
  <c r="E8" i="11"/>
  <c r="E24" i="11" s="1"/>
  <c r="D8" i="11"/>
  <c r="D24" i="11" s="1"/>
  <c r="C8" i="11"/>
  <c r="B3" i="8"/>
  <c r="B2" i="8"/>
  <c r="B4" i="6"/>
  <c r="P9" i="6" s="1" a="1"/>
  <c r="P9" i="6" s="1"/>
  <c r="B9" i="8" s="1"/>
  <c r="D3" i="6"/>
  <c r="K496" i="5"/>
  <c r="K443" i="5"/>
  <c r="F374" i="5"/>
  <c r="G371" i="5" s="1"/>
  <c r="L368" i="5" s="1"/>
  <c r="G352" i="5"/>
  <c r="D269" i="5"/>
  <c r="D268" i="5"/>
  <c r="D267" i="5"/>
  <c r="D266" i="5"/>
  <c r="D265" i="5"/>
  <c r="F260" i="5"/>
  <c r="G258" i="5"/>
  <c r="D258" i="5"/>
  <c r="E212" i="5"/>
  <c r="E211" i="5"/>
  <c r="F203" i="5"/>
  <c r="G230" i="5" s="1"/>
  <c r="L185" i="5"/>
  <c r="G167" i="5"/>
  <c r="G156" i="5"/>
  <c r="D148" i="5"/>
  <c r="L145" i="5"/>
  <c r="L129" i="5"/>
  <c r="G98" i="5"/>
  <c r="K53" i="5"/>
  <c r="L79" i="5" s="1"/>
  <c r="H53" i="5"/>
  <c r="E53" i="5"/>
  <c r="E56" i="5" s="1"/>
  <c r="L41" i="5"/>
  <c r="I15" i="5"/>
  <c r="D149" i="5" s="1"/>
  <c r="K398" i="17" a="1"/>
  <c r="E23" i="17" a="1"/>
  <c r="E68" i="5" a="1"/>
  <c r="H66" i="5" a="1"/>
  <c r="E26" i="5" a="1"/>
  <c r="K465" i="5" a="1"/>
  <c r="H446" i="5" a="1"/>
  <c r="Q461" i="5" a="1"/>
  <c r="Q463" i="5" a="1"/>
  <c r="Q462" i="5" a="1"/>
  <c r="Q457" i="5" a="1"/>
  <c r="Q458" i="5" a="1"/>
  <c r="Q460" i="5" a="1"/>
  <c r="Q459" i="5" a="1"/>
  <c r="Q394" i="17" a="1"/>
  <c r="Q395" i="17" a="1"/>
  <c r="Q392" i="17" a="1"/>
  <c r="Q390" i="17" a="1"/>
  <c r="Q393" i="17" a="1"/>
  <c r="Q396" i="17" a="1"/>
  <c r="Q391" i="17" a="1"/>
  <c r="H379" i="17" a="1"/>
  <c r="H63" i="17" a="1"/>
  <c r="E65" i="17" a="1"/>
  <c r="E157" i="17" l="1"/>
  <c r="H157" i="17" s="1"/>
  <c r="F199" i="17"/>
  <c r="F201" i="17" s="1"/>
  <c r="L245" i="17"/>
  <c r="O245" i="17" s="1"/>
  <c r="H141" i="17"/>
  <c r="H144" i="17"/>
  <c r="O266" i="17" a="1"/>
  <c r="O266" i="17" s="1"/>
  <c r="E53" i="17"/>
  <c r="P17" i="17"/>
  <c r="W17" i="17"/>
  <c r="H17" i="17"/>
  <c r="Q17" i="17"/>
  <c r="O17" i="17"/>
  <c r="R17" i="17"/>
  <c r="S17" i="17"/>
  <c r="T17" i="17"/>
  <c r="L40" i="17" s="1"/>
  <c r="AC17" i="17"/>
  <c r="U17" i="17"/>
  <c r="L41" i="17" s="1"/>
  <c r="V17" i="17"/>
  <c r="E161" i="17"/>
  <c r="H161" i="17" s="1"/>
  <c r="I307" i="17"/>
  <c r="I312" i="17" s="1"/>
  <c r="I315" i="17"/>
  <c r="AU136" i="17"/>
  <c r="AX136" i="17" s="1"/>
  <c r="AL136" i="17"/>
  <c r="AO136" i="17" s="1"/>
  <c r="Q390" i="17"/>
  <c r="Q394" i="17"/>
  <c r="Q395" i="17"/>
  <c r="Q392" i="17"/>
  <c r="Q396" i="17"/>
  <c r="E23" i="17"/>
  <c r="Q391" i="17"/>
  <c r="H63" i="17"/>
  <c r="K398" i="17"/>
  <c r="E65" i="17"/>
  <c r="M63" i="17" s="1"/>
  <c r="E55" i="17" s="1"/>
  <c r="H379" i="17"/>
  <c r="Q393" i="17"/>
  <c r="K87" i="17"/>
  <c r="N146" i="17"/>
  <c r="E85" i="17"/>
  <c r="K84" i="17" s="1"/>
  <c r="G249" i="17"/>
  <c r="K80" i="17"/>
  <c r="M104" i="17" s="1"/>
  <c r="H206" i="17"/>
  <c r="H210" i="17"/>
  <c r="I262" i="17" a="1"/>
  <c r="I262" i="17" s="1"/>
  <c r="O262" i="17" a="1"/>
  <c r="O262" i="17" s="1"/>
  <c r="K17" i="17"/>
  <c r="H215" i="17"/>
  <c r="H217" i="17"/>
  <c r="K217" i="17" s="1"/>
  <c r="J17" i="17"/>
  <c r="I266" i="17" a="1"/>
  <c r="I266" i="17" s="1"/>
  <c r="M17" i="17"/>
  <c r="I17" i="17"/>
  <c r="AD17" i="17"/>
  <c r="L17" i="17"/>
  <c r="AL135" i="17"/>
  <c r="AO135" i="17" s="1"/>
  <c r="L157" i="17" s="1"/>
  <c r="G233" i="17"/>
  <c r="AU135" i="17"/>
  <c r="AX135" i="17" s="1"/>
  <c r="S20" i="5"/>
  <c r="R20" i="5"/>
  <c r="T20" i="5"/>
  <c r="L43" i="5" s="1"/>
  <c r="AD20" i="5"/>
  <c r="H20" i="5"/>
  <c r="I20" i="5"/>
  <c r="J20" i="5"/>
  <c r="K20" i="5"/>
  <c r="L20" i="5"/>
  <c r="M20" i="5"/>
  <c r="N20" i="5"/>
  <c r="O20" i="5"/>
  <c r="P20" i="5"/>
  <c r="Q20" i="5"/>
  <c r="V20" i="5"/>
  <c r="W20" i="5"/>
  <c r="F52" i="13"/>
  <c r="F90" i="13" s="1"/>
  <c r="E108" i="13" s="1"/>
  <c r="D44" i="13"/>
  <c r="F55" i="13" s="1"/>
  <c r="D71" i="13" s="1"/>
  <c r="C126" i="13"/>
  <c r="O274" i="5" a="1"/>
  <c r="O274" i="5" s="1"/>
  <c r="O278" i="5" a="1"/>
  <c r="O278" i="5" s="1"/>
  <c r="L258" i="5"/>
  <c r="O258" i="5" s="1"/>
  <c r="H208" i="5"/>
  <c r="H210" i="5"/>
  <c r="H212" i="5"/>
  <c r="H217" i="5"/>
  <c r="H219" i="5"/>
  <c r="K219" i="5" s="1"/>
  <c r="H221" i="5"/>
  <c r="AC20" i="5"/>
  <c r="B9" i="6" a="1"/>
  <c r="B9" i="6" s="1"/>
  <c r="D9" i="6" a="1"/>
  <c r="D9" i="6" s="1"/>
  <c r="O9" i="6" a="1"/>
  <c r="O9" i="6" s="1"/>
  <c r="B8" i="8" s="1"/>
  <c r="B18" i="8" s="1"/>
  <c r="E9" i="6" a="1"/>
  <c r="E9" i="6" s="1"/>
  <c r="F9" i="6" a="1"/>
  <c r="F9" i="6" s="1"/>
  <c r="I9" i="6" a="1"/>
  <c r="I9" i="6" s="1"/>
  <c r="B20" i="8" s="1"/>
  <c r="B21" i="8" s="1"/>
  <c r="L9" i="6" a="1"/>
  <c r="L9" i="6" s="1"/>
  <c r="M9" i="6" a="1"/>
  <c r="M9" i="6" s="1"/>
  <c r="Q9" i="6" a="1"/>
  <c r="Q9" i="6" s="1"/>
  <c r="B5" i="8" s="1"/>
  <c r="B32" i="8" s="1"/>
  <c r="B33" i="8" s="1"/>
  <c r="G9" i="6" a="1"/>
  <c r="G9" i="6" s="1"/>
  <c r="J9" i="6" a="1"/>
  <c r="J9" i="6" s="1"/>
  <c r="K9" i="6" a="1"/>
  <c r="K9" i="6" s="1"/>
  <c r="A9" i="6" a="1"/>
  <c r="A9" i="6" s="1"/>
  <c r="C9" i="6" a="1"/>
  <c r="C9" i="6" s="1"/>
  <c r="N9" i="6" a="1"/>
  <c r="N9" i="6" s="1"/>
  <c r="R9" i="6" a="1"/>
  <c r="R9" i="6" s="1"/>
  <c r="B6" i="8" s="1"/>
  <c r="H446" i="5"/>
  <c r="Q457" i="5"/>
  <c r="Q462" i="5"/>
  <c r="Q459" i="5"/>
  <c r="Q460" i="5"/>
  <c r="H66" i="5"/>
  <c r="Q461" i="5"/>
  <c r="E68" i="5"/>
  <c r="E26" i="5"/>
  <c r="Q458" i="5"/>
  <c r="Q463" i="5"/>
  <c r="K465" i="5"/>
  <c r="K90" i="5"/>
  <c r="G262" i="5"/>
  <c r="E88" i="5"/>
  <c r="K86" i="5" s="1"/>
  <c r="K82" i="5"/>
  <c r="M93" i="5" s="1"/>
  <c r="J156" i="5"/>
  <c r="I358" i="5"/>
  <c r="G246" i="5"/>
  <c r="AU146" i="5"/>
  <c r="AX146" i="5" s="1"/>
  <c r="H154" i="5"/>
  <c r="H151" i="5"/>
  <c r="E171" i="5"/>
  <c r="H171" i="5" s="1"/>
  <c r="AU145" i="5"/>
  <c r="AX145" i="5" s="1"/>
  <c r="AL145" i="5"/>
  <c r="AO145" i="5" s="1"/>
  <c r="L167" i="5" s="1"/>
  <c r="AL146" i="5"/>
  <c r="AO146" i="5" s="1"/>
  <c r="I350" i="5"/>
  <c r="I355" i="5" s="1"/>
  <c r="E167" i="5"/>
  <c r="H167" i="5" s="1"/>
  <c r="C128" i="13"/>
  <c r="I274" i="5" a="1"/>
  <c r="I274" i="5" s="1"/>
  <c r="F58" i="13"/>
  <c r="D69" i="13"/>
  <c r="I278" i="5" a="1"/>
  <c r="I278" i="5" s="1"/>
  <c r="H9" i="6" a="1"/>
  <c r="H9" i="6" s="1"/>
  <c r="E116" i="13"/>
  <c r="C127" i="13" s="1"/>
  <c r="H26" i="5" a="1"/>
  <c r="K446" i="5" a="1"/>
  <c r="K379" i="17" a="1"/>
  <c r="G55" i="17" l="1"/>
  <c r="M55" i="17" s="1"/>
  <c r="H219" i="17"/>
  <c r="H208" i="17"/>
  <c r="K208" i="17" s="1"/>
  <c r="K226" i="17" s="1"/>
  <c r="K148" i="17"/>
  <c r="M108" i="17"/>
  <c r="M90" i="17"/>
  <c r="O108" i="17"/>
  <c r="L132" i="17"/>
  <c r="L135" i="17" s="1"/>
  <c r="L139" i="5"/>
  <c r="L143" i="5" s="1"/>
  <c r="K379" i="17"/>
  <c r="H269" i="17"/>
  <c r="L315" i="17"/>
  <c r="N269" i="17"/>
  <c r="H26" i="5"/>
  <c r="L358" i="5"/>
  <c r="N286" i="5" s="1"/>
  <c r="M66" i="5"/>
  <c r="E58" i="5" s="1"/>
  <c r="G58" i="5" s="1"/>
  <c r="M58" i="5" s="1"/>
  <c r="M117" i="5" s="1"/>
  <c r="N281" i="5"/>
  <c r="E343" i="5" s="1"/>
  <c r="K446" i="5"/>
  <c r="H281" i="5"/>
  <c r="E342" i="5" s="1"/>
  <c r="K459" i="5" a="1"/>
  <c r="K457" i="5" a="1"/>
  <c r="K462" i="5" a="1"/>
  <c r="K458" i="5" a="1"/>
  <c r="K460" i="5" a="1"/>
  <c r="K461" i="5" a="1"/>
  <c r="K463" i="5" a="1"/>
  <c r="K395" i="17" a="1"/>
  <c r="K391" i="17" a="1"/>
  <c r="K396" i="17" a="1"/>
  <c r="K394" i="17" a="1"/>
  <c r="K392" i="17" a="1"/>
  <c r="K393" i="17" a="1"/>
  <c r="K390" i="17" a="1"/>
  <c r="K457" i="5" l="1"/>
  <c r="K459" i="5"/>
  <c r="N208" i="17"/>
  <c r="K393" i="17"/>
  <c r="K396" i="17"/>
  <c r="K394" i="17"/>
  <c r="K390" i="17"/>
  <c r="K392" i="17"/>
  <c r="K395" i="17"/>
  <c r="K391" i="17"/>
  <c r="H274" i="17"/>
  <c r="H275" i="17" s="1"/>
  <c r="F356" i="17"/>
  <c r="F358" i="17"/>
  <c r="F357" i="17"/>
  <c r="F359" i="17"/>
  <c r="N274" i="17"/>
  <c r="N275" i="17" s="1"/>
  <c r="F404" i="5"/>
  <c r="F405" i="5"/>
  <c r="G286" i="5"/>
  <c r="G287" i="5" s="1"/>
  <c r="F403" i="5"/>
  <c r="F402" i="5"/>
  <c r="O117" i="5"/>
  <c r="E345" i="5"/>
  <c r="E347" i="5"/>
  <c r="E341" i="5"/>
  <c r="N287" i="5"/>
  <c r="K460" i="5"/>
  <c r="K463" i="5"/>
  <c r="K458" i="5"/>
  <c r="K461" i="5"/>
  <c r="K462" i="5"/>
  <c r="E346" i="5"/>
  <c r="E348" i="5"/>
  <c r="E344" i="5"/>
  <c r="E34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Mohamed Irhouma</author>
  </authors>
  <commentList>
    <comment ref="F15" authorId="0" shapeId="0" xr:uid="{00000000-0006-0000-0100-000001000000}">
      <text>
        <r>
          <rPr>
            <sz val="11"/>
            <color theme="1"/>
            <rFont val="Aptos Narrow"/>
            <family val="2"/>
            <scheme val="minor"/>
          </rPr>
          <t>Mohamed Irhouma:
Sustained Thermal Load:
PIP PIP01015 Section 4.1.7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Mohamed Irhouma</author>
  </authors>
  <commentList>
    <comment ref="D39" authorId="0" shapeId="0" xr:uid="{00000000-0006-0000-0200-000001000000}">
      <text>
        <r>
          <rPr>
            <sz val="11"/>
            <color theme="1"/>
            <rFont val="Aptos Narrow"/>
            <family val="2"/>
            <scheme val="minor"/>
          </rPr>
          <t>Mohamed Irhouma:
Sustained Thermal Load:
PIP PIP01015 Section 4.1.7</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Mohamed Irhouma</author>
  </authors>
  <commentList>
    <comment ref="A6" authorId="0" shapeId="0" xr:uid="{00000000-0006-0000-0300-000001000000}">
      <text>
        <r>
          <rPr>
            <sz val="11"/>
            <color theme="1"/>
            <rFont val="Aptos Narrow"/>
            <family val="2"/>
            <scheme val="minor"/>
          </rPr>
          <t>Mohamed Irhouma:
For future relocations on non-structural partitions.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Mohamed Irhouma</author>
  </authors>
  <commentList>
    <comment ref="D53" authorId="0" shapeId="0" xr:uid="{00000000-0006-0000-0400-000001000000}">
      <text>
        <r>
          <rPr>
            <sz val="11"/>
            <color theme="1"/>
            <rFont val="Aptos Narrow"/>
            <family val="2"/>
            <scheme val="minor"/>
          </rPr>
          <t>Mohamed Irhouma:
Total width of roof at both slopes.</t>
        </r>
      </text>
    </comment>
    <comment ref="N53" authorId="0" shapeId="0" xr:uid="{00000000-0006-0000-0400-000002000000}">
      <text>
        <r>
          <rPr>
            <sz val="11"/>
            <color theme="1"/>
            <rFont val="Aptos Narrow"/>
            <family val="2"/>
            <scheme val="minor"/>
          </rPr>
          <t xml:space="preserve">Mohamed Irhouma:
Width of the roof at eaves level.
</t>
        </r>
      </text>
    </comment>
    <comment ref="S158" authorId="0" shapeId="0" xr:uid="{00000000-0006-0000-0400-000003000000}">
      <text>
        <r>
          <rPr>
            <sz val="11"/>
            <color theme="1"/>
            <rFont val="Aptos Narrow"/>
            <family val="2"/>
            <scheme val="minor"/>
          </rPr>
          <t xml:space="preserve">Mohamed Irhouma:
Scattered buildings, trees, open water, shoreline.
</t>
        </r>
      </text>
    </comment>
    <comment ref="E201" authorId="0" shapeId="0" xr:uid="{00000000-0006-0000-0400-000004000000}">
      <text>
        <r>
          <rPr>
            <sz val="11"/>
            <color theme="1"/>
            <rFont val="Aptos Narrow"/>
            <family val="2"/>
            <scheme val="minor"/>
          </rPr>
          <t>Mohamed Irhouma:
Mohamed Irhouma:
Height of the building parallel to the wind direction.
Height measured from grade to mean roof height so is it reference height of Href?</t>
        </r>
      </text>
    </comment>
    <comment ref="H201" authorId="0" shapeId="0" xr:uid="{00000000-0006-0000-0400-000005000000}">
      <text>
        <r>
          <rPr>
            <sz val="11"/>
            <color theme="1"/>
            <rFont val="Aptos Narrow"/>
            <family val="2"/>
            <scheme val="minor"/>
          </rPr>
          <t>Mohamed Irhouma:
Width of the building parallel to the wind direction? Parallel is the elevation with the cross bracing?*</t>
        </r>
      </text>
    </comment>
    <comment ref="F244" authorId="0" shapeId="0" xr:uid="{00000000-0006-0000-0400-000006000000}">
      <text>
        <r>
          <rPr>
            <sz val="11"/>
            <color theme="1"/>
            <rFont val="Aptos Narrow"/>
            <family val="2"/>
            <scheme val="minor"/>
          </rPr>
          <t xml:space="preserve">Mohamed Irhouma:
Width of the building which is the smaller plannar dimension. </t>
        </r>
      </text>
    </comment>
    <comment ref="B254" authorId="0" shapeId="0" xr:uid="{00000000-0006-0000-0400-000007000000}">
      <text>
        <r>
          <rPr>
            <sz val="11"/>
            <color theme="1"/>
            <rFont val="Aptos Narrow"/>
            <family val="2"/>
            <scheme val="minor"/>
          </rPr>
          <t>Mohamed Irhouma:
for Load Case B below. Alternatively, for buildings with frames, the end-zone width y may be the distance
between the end and the first interior frame</t>
        </r>
      </text>
    </comment>
    <comment ref="H255" authorId="0" shapeId="0" xr:uid="{00000000-0006-0000-0400-000008000000}">
      <text>
        <r>
          <rPr>
            <sz val="11"/>
            <color theme="1"/>
            <rFont val="Aptos Narrow"/>
            <family val="2"/>
            <scheme val="minor"/>
          </rPr>
          <t>Mohamed Irhouma:
As in the building width?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tc={186CA438-532C-419E-94EA-E97B71FE6902}</author>
    <author>tc={1B7ACC82-F0CE-4763-9E47-FEED1356B8DB}</author>
    <author>Mohamed Irhouma</author>
  </authors>
  <commentList>
    <comment ref="L8" authorId="0" shapeId="0" xr:uid="{186CA438-532C-419E-94EA-E97B71FE6902}">
      <text>
        <t>[Threaded comment]
Your version of Excel allows you to read this threaded comment; however, any edits to it will get removed if the file is opened in a newer version of Excel. Learn more: https://go.microsoft.com/fwlink/?linkid=870924
Comment:
    Height of highest pipe from ground level + height of lowest pipe from ground level</t>
      </text>
    </comment>
    <comment ref="L9" authorId="1" shapeId="0" xr:uid="{1B7ACC82-F0CE-4763-9E47-FEED1356B8DB}">
      <text>
        <t>[Threaded comment]
Your version of Excel allows you to read this threaded comment; however, any edits to it will get removed if the file is opened in a newer version of Excel. Learn more: https://go.microsoft.com/fwlink/?linkid=870924
Comment:
    Summation of height of both pipes at pipe radius from ground level.</t>
      </text>
    </comment>
    <comment ref="D50" authorId="2" shapeId="0" xr:uid="{28655272-4142-4555-88C8-6889AE9D10DB}">
      <text>
        <r>
          <rPr>
            <sz val="11"/>
            <color theme="1"/>
            <rFont val="Aptos Narrow"/>
            <family val="2"/>
            <scheme val="minor"/>
          </rPr>
          <t>Mohamed Irhouma:
Total width of roof at both slopes.</t>
        </r>
      </text>
    </comment>
    <comment ref="N50" authorId="2" shapeId="0" xr:uid="{83F847B4-272B-4669-BF70-BB1BAA3D5F43}">
      <text>
        <r>
          <rPr>
            <sz val="11"/>
            <color theme="1"/>
            <rFont val="Aptos Narrow"/>
            <family val="2"/>
            <scheme val="minor"/>
          </rPr>
          <t xml:space="preserve">Mohamed Irhouma:
Width of the roof at eaves level.
</t>
        </r>
      </text>
    </comment>
    <comment ref="S148" authorId="2" shapeId="0" xr:uid="{F55C5D9D-61DA-4D89-8CF8-B6C9CB8A19F9}">
      <text>
        <r>
          <rPr>
            <sz val="11"/>
            <color theme="1"/>
            <rFont val="Aptos Narrow"/>
            <family val="2"/>
            <scheme val="minor"/>
          </rPr>
          <t xml:space="preserve">Mohamed Irhouma:
Scattered buildings, trees, open water, shoreline.
</t>
        </r>
      </text>
    </comment>
    <comment ref="E199" authorId="2" shapeId="0" xr:uid="{C6168448-1879-460F-AB60-5955FFF53735}">
      <text>
        <r>
          <rPr>
            <sz val="11"/>
            <color theme="1"/>
            <rFont val="Aptos Narrow"/>
            <family val="2"/>
            <scheme val="minor"/>
          </rPr>
          <t>Mohamed Irhouma:
Mohamed Irhouma:
Height of the building parallel to the wind direction.
Height measured from grade to mean roof height so is it reference height of Href?</t>
        </r>
      </text>
    </comment>
    <comment ref="H199" authorId="2" shapeId="0" xr:uid="{C0E723A3-C4DF-4D7F-972B-A729D76A76BE}">
      <text>
        <r>
          <rPr>
            <sz val="11"/>
            <color theme="1"/>
            <rFont val="Aptos Narrow"/>
            <family val="2"/>
            <scheme val="minor"/>
          </rPr>
          <t>Mohamed Irhouma:
Width of the building parallel to the wind direction? Parallel is the elevation with the cross bracing?*</t>
        </r>
      </text>
    </comment>
    <comment ref="F231" authorId="2" shapeId="0" xr:uid="{D242DD40-F7F0-45CE-9C91-AF17AB9FAC8F}">
      <text>
        <r>
          <rPr>
            <sz val="11"/>
            <color theme="1"/>
            <rFont val="Aptos Narrow"/>
            <family val="2"/>
            <scheme val="minor"/>
          </rPr>
          <t xml:space="preserve">Mohamed Irhouma:
Width of the building which is the smaller plannar dimension. </t>
        </r>
      </text>
    </comment>
    <comment ref="B241" authorId="2" shapeId="0" xr:uid="{4FB04A1D-FCC4-41E1-948A-D1A6299BD001}">
      <text>
        <r>
          <rPr>
            <sz val="11"/>
            <color theme="1"/>
            <rFont val="Aptos Narrow"/>
            <family val="2"/>
            <scheme val="minor"/>
          </rPr>
          <t>Mohamed Irhouma:
for Load Case B below. Alternatively, for buildings with frames, the end-zone width y may be the distance
between the end and the first interior frame</t>
        </r>
      </text>
    </comment>
    <comment ref="H242" authorId="2" shapeId="0" xr:uid="{B189E111-256D-4497-95BE-9F9DE5D8D4F4}">
      <text>
        <r>
          <rPr>
            <sz val="11"/>
            <color theme="1"/>
            <rFont val="Aptos Narrow"/>
            <family val="2"/>
            <scheme val="minor"/>
          </rPr>
          <t>Mohamed Irhouma:
As in the building width?</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Mohamed Irhouma</author>
  </authors>
  <commentList>
    <comment ref="O19" authorId="0" shapeId="0" xr:uid="{00000000-0006-0000-0C00-000001000000}">
      <text>
        <r>
          <rPr>
            <sz val="11"/>
            <color theme="1"/>
            <rFont val="Aptos Narrow"/>
            <family val="2"/>
            <scheme val="minor"/>
          </rPr>
          <t>Mohamed Irhouma:
Sustained Thermal Load:
PIP PIP01015 Section 4.1.7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<sst xmlns="http://schemas.openxmlformats.org/spreadsheetml/2006/main" count="7059" uniqueCount="3411">
  <si>
    <t>Structural Design Criteria</t>
  </si>
  <si>
    <t>Load Combination</t>
  </si>
  <si>
    <t>Description</t>
  </si>
  <si>
    <t>Symbol</t>
  </si>
  <si>
    <t xml:space="preserve">         Description</t>
  </si>
  <si>
    <t>1.25(Ds + Dhy) +1.5S +1.0L</t>
  </si>
  <si>
    <t>Test +snow +live</t>
  </si>
  <si>
    <t>Dₛ</t>
  </si>
  <si>
    <t>Structure Self Weight</t>
  </si>
  <si>
    <t>1.25(Ds + Dhy) +1.5S ±0.4W</t>
  </si>
  <si>
    <t>Test +snow +wind</t>
  </si>
  <si>
    <t>Deq</t>
  </si>
  <si>
    <t>Equipment Empty Dead Load</t>
  </si>
  <si>
    <t>1.25(Ds  + Dop) ± 1.25(F + TA) +1.5S +1L</t>
  </si>
  <si>
    <t>Operating +snow +live</t>
  </si>
  <si>
    <t>Dop</t>
  </si>
  <si>
    <t>Equipment Operating Dead Load</t>
  </si>
  <si>
    <t>1.25(Ds + Dop) ± 1.25TA +1.5L ±0.4W</t>
  </si>
  <si>
    <t>Operating +snow +wind</t>
  </si>
  <si>
    <t>Dhy</t>
  </si>
  <si>
    <t>Equipment Hydrostatic Test Dead Load</t>
  </si>
  <si>
    <t>0.9Ds ± 1.4W</t>
  </si>
  <si>
    <t>Erection + wind (uplift case)</t>
  </si>
  <si>
    <t>Dc</t>
  </si>
  <si>
    <t>Cable Tray Dead Load</t>
  </si>
  <si>
    <t>0.9(Ds + Dop) ± 1.25TA ± 1.4W</t>
  </si>
  <si>
    <t>Operating +wind(uplift case)</t>
  </si>
  <si>
    <t>Lf</t>
  </si>
  <si>
    <t>Floor Live Load</t>
  </si>
  <si>
    <t>1.25(Ds + Dhy) ±1.4W + 1L</t>
  </si>
  <si>
    <t>Test + wind +live</t>
  </si>
  <si>
    <t>Lₘ</t>
  </si>
  <si>
    <t>Equipment Impact Load</t>
  </si>
  <si>
    <t>1.25(Ds + Dhy) ± 1.4W + 0.5S</t>
  </si>
  <si>
    <t>Test + wind +snow</t>
  </si>
  <si>
    <t>Lᵥ</t>
  </si>
  <si>
    <t>Vehicle Load</t>
  </si>
  <si>
    <t>1.25(Ds + Dop) ± 1.25TA ±1.4W +1L</t>
  </si>
  <si>
    <t>Operating +wind +live</t>
  </si>
  <si>
    <t>Bₚ</t>
  </si>
  <si>
    <t>Bundle Pull Load</t>
  </si>
  <si>
    <t>1.25(Ds + Dop) ± 1.25TA ±1.4W +0.5S</t>
  </si>
  <si>
    <t>Operating +wind +snow</t>
  </si>
  <si>
    <t>Tₛ</t>
  </si>
  <si>
    <t xml:space="preserve">Structural Components Thermal Load </t>
  </si>
  <si>
    <t>1.4(Ds + Deq) ± 1.0E</t>
  </si>
  <si>
    <t>Empty +earthquake</t>
  </si>
  <si>
    <t>Tt</t>
  </si>
  <si>
    <t xml:space="preserve">Temporary Thermal Load </t>
  </si>
  <si>
    <t>1(Ds + Dop) ± 1TA ± 1.0E</t>
  </si>
  <si>
    <t>Operating +earthquake (uplift case)</t>
  </si>
  <si>
    <t>Tₐ</t>
  </si>
  <si>
    <t>Piping Anchor Load</t>
  </si>
  <si>
    <t>1(Ds + Dop) ± 1TA ± 1.0E +0.5L +0.25S</t>
  </si>
  <si>
    <t>Operating +earthquake +live +snow</t>
  </si>
  <si>
    <t>Tg</t>
  </si>
  <si>
    <t>Piping Guide Load</t>
  </si>
  <si>
    <t>1.4(Ds + Dhy)</t>
  </si>
  <si>
    <t>Empty + Hydrotest</t>
  </si>
  <si>
    <t>F</t>
  </si>
  <si>
    <t>Friction Load</t>
  </si>
  <si>
    <t>0.9(Ds + Deq) ± 1.5Bp ± 0.4W</t>
  </si>
  <si>
    <t>Empty + bundle pull + wind (uplift)</t>
  </si>
  <si>
    <t>S</t>
  </si>
  <si>
    <t>Snow Load</t>
  </si>
  <si>
    <t>1.25(Ds + Deq) ± 1.5Bp ± 0.4W, or 0.5S</t>
  </si>
  <si>
    <t>Empty + bundle pull + wind / snow</t>
  </si>
  <si>
    <t>W</t>
  </si>
  <si>
    <t>Wind Load</t>
  </si>
  <si>
    <t>1.25(Ds + Dhy) + 1.5L + 0.5S</t>
  </si>
  <si>
    <t>Test + live + snow</t>
  </si>
  <si>
    <t>Wp</t>
  </si>
  <si>
    <t>Partial Wind Load</t>
  </si>
  <si>
    <t>1.25(Ds + Dhy) + 1.5L ± 0.4W</t>
  </si>
  <si>
    <t>Test + live + wind</t>
  </si>
  <si>
    <t>E</t>
  </si>
  <si>
    <t>Seismic Load</t>
  </si>
  <si>
    <t>1.25(Ds + Dop) ± 1.25(F + TA) + 1.5L + 0.5S</t>
  </si>
  <si>
    <t>Operating +live +snow</t>
  </si>
  <si>
    <t>C</t>
  </si>
  <si>
    <t>Live Loads due to Cranes Including Self-Weight</t>
  </si>
  <si>
    <t>1.25(Ds + Dop) ± 1.25TA + 1.5L ± 0.4W</t>
  </si>
  <si>
    <t>Operating +live +wind</t>
  </si>
  <si>
    <t>For Detailed Design</t>
  </si>
  <si>
    <t>(ULS) Local Member Design Only</t>
  </si>
  <si>
    <t>BLC</t>
  </si>
  <si>
    <t>Factor</t>
  </si>
  <si>
    <t>Basic Load Cases</t>
  </si>
  <si>
    <t>11-2.1_1  &lt;&lt; 1.25(Ds+Dop)+1.25Ts+Tt+1.5L+S &gt;&gt;</t>
  </si>
  <si>
    <t>DL</t>
  </si>
  <si>
    <t>Ds</t>
  </si>
  <si>
    <t>11-2.1_2  &lt;&lt; 1.25(Ds+Dop)+1.25Ts+Tt+1.5L+S &gt;&gt;</t>
  </si>
  <si>
    <t>11-2.1_3  &lt;&lt; 1.25(Ds+Dop)+1.25Ts+Tt+1.5L+S &gt;&gt;</t>
  </si>
  <si>
    <t>11-2.1_4  &lt;&lt; 1.25(Ds+Dop)+1.25Ts+Tt+1.5L+S &gt;&gt;</t>
  </si>
  <si>
    <t>11-3.1_1  &lt;&lt; 1.25(Ds+Dop)+1.25Ts+Tt+1.5L+L &gt;&gt;</t>
  </si>
  <si>
    <t>Ts</t>
  </si>
  <si>
    <t>11-3.1_2  &lt;&lt; 1.25(Ds+Dop)+1.25Ts+Tt+1.5S+L &gt;&gt;</t>
  </si>
  <si>
    <t>11-3.1_3  &lt;&lt; 1.25(Ds+Dop)+1.25Ts+Tt+1.5S+L &gt;&gt;</t>
  </si>
  <si>
    <t>L</t>
  </si>
  <si>
    <t>11-3.1_4  &lt;&lt; 1.25(Ds+Dop)+1.25Ts+Tt+1.5S+L &gt;&gt;</t>
  </si>
  <si>
    <t>11-8.1_1  &lt;&lt; 1.25(Ds+Dop)+1.25Ts+1.25Tt+0.5L+0.5S &gt;&gt;</t>
  </si>
  <si>
    <t>W(+z)</t>
  </si>
  <si>
    <t>11-8.1_2  &lt;&lt; 1.25(Ds+Dop)+1.25Ts+1.25Tt+0.5L+0.5S &gt;&gt;</t>
  </si>
  <si>
    <t>W(+x)</t>
  </si>
  <si>
    <t>11-8.1_3  &lt;&lt; 1.25(Ds+Dop)+1.25Ts+1.25Tt+0.5L+0.5S &gt;&gt;</t>
  </si>
  <si>
    <t>Wp(z)</t>
  </si>
  <si>
    <t>11-8.1_4  &lt;&lt; 1.25(Ds+Dop)+1.25Ts+1.25Tt+0.5L+0.5S &gt;&gt;</t>
  </si>
  <si>
    <t>Wp(x)</t>
  </si>
  <si>
    <t>Eo(z)</t>
  </si>
  <si>
    <t>Eo(x)</t>
  </si>
  <si>
    <t>Ee(z)</t>
  </si>
  <si>
    <t>ULS (Ultimate Limit States)</t>
  </si>
  <si>
    <t>Ee(x)</t>
  </si>
  <si>
    <t>11-1.1_1  &lt;&lt; 1.4(Ds+Dop)+1.25Ts &gt;&gt;</t>
  </si>
  <si>
    <t>N(z)</t>
  </si>
  <si>
    <t>11-1.1_2  &lt;&lt; 1.4(Ds+Dop)+1.25Ts &gt;&gt;</t>
  </si>
  <si>
    <t>N(x)</t>
  </si>
  <si>
    <t>11-1.1_3  &lt;&lt; 1.4(Ds+Dop)+1.25Ts &gt;&gt;</t>
  </si>
  <si>
    <t>W(-z)</t>
  </si>
  <si>
    <t>11-1.1_4  &lt;&lt; 1.4(Ds+Dop)+1.25Ts &gt;&gt;</t>
  </si>
  <si>
    <t>W(-x)</t>
  </si>
  <si>
    <t>Wi</t>
  </si>
  <si>
    <t>W10z</t>
  </si>
  <si>
    <t>W10x</t>
  </si>
  <si>
    <t>Dsz</t>
  </si>
  <si>
    <t>11-3.1_1  &lt;&lt; 1.25(Ds+Dop)+1.25Ts+Tt+L+0.5S &gt;&gt;</t>
  </si>
  <si>
    <t>Dsx</t>
  </si>
  <si>
    <t>11-3.1_2  &lt;&lt; 1.25(Ds+Dop)+1.25Ts+Tt+L+0.5S &gt;&gt;</t>
  </si>
  <si>
    <t>Dez</t>
  </si>
  <si>
    <t>11-3.1_3  &lt;&lt; 1.25(Ds+Dop)+1.25Ts+Tt+L+0.5S &gt;&gt;</t>
  </si>
  <si>
    <t>Dex</t>
  </si>
  <si>
    <t>11-3.1_4  &lt;&lt; 1.25(Ds+Dop)+1.25Ts+Tt+L+0.5S &gt;&gt;</t>
  </si>
  <si>
    <t>11-3.2_1  &lt;&lt; 1.25(Ds+Dop)+1.25Ts+1.5S+0.4W &gt;&gt;</t>
  </si>
  <si>
    <t>11-3.2_2  &lt;&lt; 1.25(Ds+Dop)+1.25Ts+1.5S+0.4W &gt;&gt;</t>
  </si>
  <si>
    <t>11-3.2_3  &lt;&lt; 1.25(Ds+Dop)+1.25Ts+1.5S+0.4W &gt;&gt;</t>
  </si>
  <si>
    <t>11-3.2_4  &lt;&lt; 1.25(Ds+Dop)+1.25Ts+1.5S+0.4W &gt;&gt;</t>
  </si>
  <si>
    <t>11-3.2_5  &lt;&lt; 1.25(Ds+Dop)+1.25Ts+1.5S+0.4W &gt;&gt;</t>
  </si>
  <si>
    <t>11-3.2_6  &lt;&lt; 1.25(Ds+Dop)+1.25Ts+1.5S+0.4W &gt;&gt;</t>
  </si>
  <si>
    <t>11-3.2_7  &lt;&lt; 1.25(Ds+Dop)+1.25Ts+1.5S+0.4W &gt;&gt;</t>
  </si>
  <si>
    <t>11-3.2_8  &lt;&lt; 1.25(Ds+Dop)+1.25Ts+1.5S+0.4W &gt;&gt;</t>
  </si>
  <si>
    <t>11-3.2_9  &lt;&lt; 1.25(Ds+Dop)+1.25Ts+1.5S+0.4W &gt;&gt;</t>
  </si>
  <si>
    <t>11-3.2_10  &lt;&lt; 1.25(Ds+Dop)+1.25Ts+1.5S+0.4W &gt;&gt;</t>
  </si>
  <si>
    <t>11-3.2_11  &lt;&lt; 1.25(Ds+Dop)+1.25Ts+1.5S+0.4W &gt;&gt;</t>
  </si>
  <si>
    <t>11-3.2_12  &lt;&lt; 1.25(Ds+Dop)+1.25Ts+1.5S+0.4W &gt;&gt;</t>
  </si>
  <si>
    <t>11-3.2_13  &lt;&lt; 1.25(Ds+Dop)+1.25Ts+1.5S+0.4W &gt;&gt;</t>
  </si>
  <si>
    <t>11-3.2_14  &lt;&lt; 1.25(Ds+Dop)+1.25Ts+1.5S+0.4W &gt;&gt;</t>
  </si>
  <si>
    <t>11-3.2_15  &lt;&lt; 1.25(Ds+Dop)+1.25Ts+1.5S+0.4W &gt;&gt;</t>
  </si>
  <si>
    <t>11-3.2_16  &lt;&lt; 1.25(Ds+Dop)+1.25Ts+1.5S+0.4W &gt;&gt;</t>
  </si>
  <si>
    <t>11-4.1_1  &lt;&lt; 1.25(Ds+Dop)+1.25Ts+1.4W+0.5L+0.5S &gt;&gt;</t>
  </si>
  <si>
    <t>11-4.1_2  &lt;&lt; 1.25(Ds+Dop)+1.25Ts+1.4W+0.5L+0.5S &gt;&gt;</t>
  </si>
  <si>
    <t>11-4.1_3  &lt;&lt; 1.25(Ds+Dop)+1.25Ts+1.4W+0.5L+0.5S &gt;&gt;</t>
  </si>
  <si>
    <t>11-4.1_4  &lt;&lt; 1.25(Ds+Dop)+1.25Ts+1.4W+0.5L+0.5S &gt;&gt;</t>
  </si>
  <si>
    <t>11-4.1_5  &lt;&lt; 1.25(Ds+Dop)+1.25Ts+1.4W+0.5L+0.5S &gt;&gt;</t>
  </si>
  <si>
    <t>11-4.1_6  &lt;&lt; 1.25(Ds+Dop)+1.25Ts+1.4W+0.5L+0.5S &gt;&gt;</t>
  </si>
  <si>
    <t>11-4.1_7  &lt;&lt; 1.25(Ds+Dop)+1.25Ts+1.4W+0.5L+0.5S &gt;&gt;</t>
  </si>
  <si>
    <t>11-4.1_8  &lt;&lt; 1.25(Ds+Dop)+1.25Ts+1.4W+0.5L+0.5S &gt;&gt;</t>
  </si>
  <si>
    <t>11-4.1_9  &lt;&lt; 1.25(Ds+Dop)+1.25Ts+1.4W+0.5L+0.5S &gt;&gt;</t>
  </si>
  <si>
    <t>11-4.1_10  &lt;&lt; 1.25(Ds+Dop)+1.25Ts+1.4W+0.5L+0.5S &gt;&gt;</t>
  </si>
  <si>
    <t>11-4.1_11  &lt;&lt; 1.25(Ds+Dop)+1.25Ts+1.4W+0.5L+0.5S &gt;&gt;</t>
  </si>
  <si>
    <t>11-4.1_12  &lt;&lt; 1.25(Ds+Dop)+1.25Ts+1.4W+0.5L+0.5S &gt;&gt;</t>
  </si>
  <si>
    <t>11-4.1_13  &lt;&lt; 1.25(Ds+Dop)+1.25Ts+1.4W+0.5L+0.5S &gt;&gt;</t>
  </si>
  <si>
    <t>11-4.1_14  &lt;&lt; 1.25(Ds+Dop)+1.25Ts+1.4W+0.5L+0.5S &gt;&gt;</t>
  </si>
  <si>
    <t>11-4.1_15  &lt;&lt; 1.25(Ds+Dop)+1.25Ts+1.4W+0.5L+0.5S &gt;&gt;</t>
  </si>
  <si>
    <t>11-4.1_16  &lt;&lt; 1.25(Ds+Dop)+1.25Ts+1.4W+0.5L+0.5S &gt;&gt;</t>
  </si>
  <si>
    <t>11-5_1  &lt;&lt; (Ds+Dop)+1.25Ts+Eo+0.5L+0.25S &gt;&gt;</t>
  </si>
  <si>
    <t>11-5_2  &lt;&lt; (Ds+Dop)+1.25Ts+Eo+0.5L+0.25S &gt;&gt;</t>
  </si>
  <si>
    <t>11-5_3  &lt;&lt; (Ds+Dop)+1.25Ts+Eo+0.5L+0.25S &gt;&gt;</t>
  </si>
  <si>
    <t>11-5_4  &lt;&lt; (Ds+Dop)+1.25Ts+Eo+0.5L+0.25S &gt;&gt;</t>
  </si>
  <si>
    <t>11-6.1_1  &lt;&lt; 0.9(Ds+De)+1.25Ts+1.4W &gt;&gt;</t>
  </si>
  <si>
    <t>11-6.1_2  &lt;&lt; 0.9(Ds+De)+1.25Ts+1.4W &gt;&gt;</t>
  </si>
  <si>
    <t>11-6.1_3  &lt;&lt; 0.9(Ds+De)+1.25Ts+1.4W &gt;&gt;</t>
  </si>
  <si>
    <t>11-6.1_4  &lt;&lt; 0.9(Ds+De)+1.25Ts+1.4W &gt;&gt;</t>
  </si>
  <si>
    <t>11-6.1_5  &lt;&lt; 0.9(Ds+De)+1.25Ts+1.4W &gt;&gt;</t>
  </si>
  <si>
    <t>11-6.1_6  &lt;&lt; 0.9(Ds+De)+1.25Ts+1.4W &gt;&gt;</t>
  </si>
  <si>
    <t>11-6.1_7  &lt;&lt; 0.9(Ds+De)+1.25Ts+1.4W &gt;&gt;</t>
  </si>
  <si>
    <t>11-6.1_8  &lt;&lt; 0.9(Ds+De)+1.25Ts+1.4W &gt;&gt;</t>
  </si>
  <si>
    <t>11-6.1_9  &lt;&lt; 0.9(Ds+De)+1.25Ts+1.4W &gt;&gt;</t>
  </si>
  <si>
    <t>11-6.1_10  &lt;&lt; 0.9(Ds+De)+1.25Ts+1.4W &gt;&gt;</t>
  </si>
  <si>
    <t>11-6.1_11  &lt;&lt; 0.9(Ds+De)+1.25Ts+1.4W &gt;&gt;</t>
  </si>
  <si>
    <t>11-6.1_12  &lt;&lt; 0.9(Ds+De)+1.25Ts+1.4W &gt;&gt;</t>
  </si>
  <si>
    <t>11-6.1_13  &lt;&lt; 0.9(Ds+De)+1.25Ts+1.4W &gt;&gt;</t>
  </si>
  <si>
    <t>11-6.1_14  &lt;&lt; 0.9(Ds+De)+1.25Ts+1.4W &gt;&gt;</t>
  </si>
  <si>
    <t>11-6.1_15  &lt;&lt; 0.9(Ds+De)+1.25Ts+1.4W &gt;&gt;</t>
  </si>
  <si>
    <t>11-6.1_16  &lt;&lt; 0.9(Ds+De)+1.25Ts+1.4W &gt;&gt;</t>
  </si>
  <si>
    <t>11-6.2_1  &lt;&lt; 0.9(Ds+Dop)+1.25Ts+1.4W &gt;&gt;</t>
  </si>
  <si>
    <t>11-6.2_2  &lt;&lt; 0.9(Ds+Dop)+1.25Ts+1.4W &gt;&gt;</t>
  </si>
  <si>
    <t>11-6.2_3  &lt;&lt; 0.9(Ds+Dop)+1.25Ts+1.4W &gt;&gt;</t>
  </si>
  <si>
    <t>11-6.2_4  &lt;&lt; 0.9(Ds+Dop)+1.25Ts+1.4W &gt;&gt;</t>
  </si>
  <si>
    <t>11-6.2_5  &lt;&lt; 0.9(Ds+Dop)+1.25Ts+1.4W &gt;&gt;</t>
  </si>
  <si>
    <t>11-6.2_6  &lt;&lt; 0.9(Ds+Dop)+1.25Ts+1.4W &gt;&gt;</t>
  </si>
  <si>
    <t>11-6.2_7  &lt;&lt; 0.9(Ds+Dop)+1.25Ts+1.4W &gt;&gt;</t>
  </si>
  <si>
    <t>11-6.2_8  &lt;&lt; 0.9(Ds+Dop)+1.25Ts+1.4W &gt;&gt;</t>
  </si>
  <si>
    <t>11-6.2_9  &lt;&lt; 0.9(Ds+Dop)+1.25Ts+1.4W &gt;&gt;</t>
  </si>
  <si>
    <t>11-6.2_10  &lt;&lt; 0.9(Ds+Dop)+1.25Ts+1.4W &gt;&gt;</t>
  </si>
  <si>
    <t>11-6.2_11  &lt;&lt; 0.9(Ds+Dop)+1.25Ts+1.4W &gt;&gt;</t>
  </si>
  <si>
    <t>11-6.2_12  &lt;&lt; 0.9(Ds+Dop)+1.25Ts+1.4W &gt;&gt;</t>
  </si>
  <si>
    <t>11-6.2_13  &lt;&lt; 0.9(Ds+Dop)+1.25Ts+1.4W &gt;&gt;</t>
  </si>
  <si>
    <t>11-6.2_14  &lt;&lt; 0.9(Ds+Dop)+1.25Ts+1.4W &gt;&gt;</t>
  </si>
  <si>
    <t>11-6.2_15  &lt;&lt; 0.9(Ds+Dop)+1.25Ts+1.4W &gt;&gt;</t>
  </si>
  <si>
    <t>11-6.2_16  &lt;&lt; 0.9(Ds+Dop)+1.25Ts+1.4W &gt;&gt;</t>
  </si>
  <si>
    <t>11-7.1_1  &lt;&lt; 0.9(Ds+De)+1.25Ts+Ee &gt;&gt;</t>
  </si>
  <si>
    <t>11-7.1_2  &lt;&lt; 0.9(Ds+De)+1.25Ts+Ee &gt;&gt;</t>
  </si>
  <si>
    <t>11-7.1_3  &lt;&lt; 0.9(Ds+De)+1.25Ts+Ee &gt;&gt;</t>
  </si>
  <si>
    <t>11-7.1_4  &lt;&lt; 0.9(Ds+De)+1.25Ts+Ee &gt;&gt;</t>
  </si>
  <si>
    <t>11-7.2_1  &lt;&lt; 0.9(Ds+De)+1.25Ts+Eo &gt;&gt;</t>
  </si>
  <si>
    <t>11-7.2_2  &lt;&lt; 0.9(Ds+De)+1.25Ts+Eo &gt;&gt;</t>
  </si>
  <si>
    <t>11-7.2_3  &lt;&lt; 0.9(Ds+De)+1.25Ts+Eo &gt;&gt;</t>
  </si>
  <si>
    <t>11-7.2_4  &lt;&lt; 0.9(Ds+De)+1.25Ts+Eo &gt;&gt;</t>
  </si>
  <si>
    <t>0.9(Ds + Deq) ± 1W</t>
  </si>
  <si>
    <t>Empty + wind</t>
  </si>
  <si>
    <t>1(Ds + Dhy) ± 1W</t>
  </si>
  <si>
    <t>Test + wind</t>
  </si>
  <si>
    <t>1(Ds + Deq) ± 1.0E</t>
  </si>
  <si>
    <t>Empty + earthquake</t>
  </si>
  <si>
    <t>1(Ds + Dop) ± 1(F + TA) + 1L + 0.5S</t>
  </si>
  <si>
    <t>1(Ds + Dop) ± 1TA + 0.5L ± 1W</t>
  </si>
  <si>
    <t>1(Ds + Dop) ± 1TA + 1L ± 0.4W</t>
  </si>
  <si>
    <t>1(Ds + Dop) ± 1TA ± 1.0E + 0.5L + 0.25S</t>
  </si>
  <si>
    <t>SLS (Serviceability Limit States)</t>
  </si>
  <si>
    <t>10-1.1_1  &lt;&lt; Ds+Dop+Ts &gt;&gt;</t>
  </si>
  <si>
    <t>10-1.1_2  &lt;&lt; Ds+Dop+Ts &gt;&gt;</t>
  </si>
  <si>
    <t>10-1.1_3  &lt;&lt; Ds+Dop+Ts &gt;&gt;</t>
  </si>
  <si>
    <t>10-1.1_4  &lt;&lt; Ds+Dop+Ts &gt;&gt;</t>
  </si>
  <si>
    <t>10-1.2_1  &lt;&lt; Ds+Dop+Ts+Tt &gt;&gt;</t>
  </si>
  <si>
    <t>10-1.2_2  &lt;&lt; Ds+Dop+Ts+Tt &gt;&gt;</t>
  </si>
  <si>
    <t>10-1.2_3  &lt;&lt; Ds+Dop+Ts+Tt &gt;&gt;</t>
  </si>
  <si>
    <t>10-1.2_4  &lt;&lt; Ds+Dop+Ts+Tt &gt;&gt;</t>
  </si>
  <si>
    <t>10-2.1_1  &lt;&lt; Ds+Dop+Ts+L &gt;&gt;</t>
  </si>
  <si>
    <t>10-2.1_2  &lt;&lt; Ds+Dop+Ts+L &gt;&gt;</t>
  </si>
  <si>
    <t>10-2.1_3  &lt;&lt; Ds+Dop+Ts+L &gt;&gt;</t>
  </si>
  <si>
    <t>10-2.1_4  &lt;&lt; Ds+Dop+Ts+L &gt;&gt;</t>
  </si>
  <si>
    <t>10-3.1_1  &lt;&lt; Ds+Dop+Ts+S &gt;&gt;</t>
  </si>
  <si>
    <t>10-3.1_2  &lt;&lt; Ds+Dop+Ts+S &gt;&gt;</t>
  </si>
  <si>
    <t>10-3.1_3  &lt;&lt; Ds+Dop+Ts+S &gt;&gt;</t>
  </si>
  <si>
    <t>10-3.1_4  &lt;&lt; Ds+Dop+Ts+S &gt;&gt;</t>
  </si>
  <si>
    <t>10-4.1a_1  &lt;&lt; Ds+Dop+Ts+0.75Tt+L+0.35S &gt;&gt;</t>
  </si>
  <si>
    <t>10-4.1a_2  &lt;&lt; Ds+Dop+Ts+0.75Tt+L+0.35S &gt;&gt;</t>
  </si>
  <si>
    <t>10-4.1a_3  &lt;&lt; Ds+Dop+Ts+0.75Tt+L+0.35S &gt;&gt;</t>
  </si>
  <si>
    <t>10-4.1a_4  &lt;&lt; Ds+Dop+Ts+0.75Tt+L+0.35S &gt;&gt;</t>
  </si>
  <si>
    <t>10-4.1b_1  &lt;&lt; Ds+Dop+Ts+0.75Tt+0.35L+S &gt;&gt;</t>
  </si>
  <si>
    <t>10-4.1b_2  &lt;&lt; Ds+Dop+Ts+0.75Tt+0.35L+S &gt;&gt;</t>
  </si>
  <si>
    <t>10-4.1b_3  &lt;&lt; Ds+Dop+Ts+0.75Tt+0.35L+S &gt;&gt;</t>
  </si>
  <si>
    <t>10-4.1b_4  &lt;&lt; Ds+Dop+Ts+0.75Tt+0.35L+S &gt;&gt;</t>
  </si>
  <si>
    <t>10-5.1_1  &lt;&lt; Ds+Dop+Ts+W &gt;&gt;</t>
  </si>
  <si>
    <t>10-5.1_2  &lt;&lt; Ds+Dop+Ts+W &gt;&gt;</t>
  </si>
  <si>
    <t>10-5.1_3  &lt;&lt; Ds+Dop+Ts+W &gt;&gt;</t>
  </si>
  <si>
    <t>10-5.1_4  &lt;&lt; Ds+Dop+Ts+W &gt;&gt;</t>
  </si>
  <si>
    <t>10-5.1_5  &lt;&lt; Ds+Dop+Ts+W &gt;&gt;</t>
  </si>
  <si>
    <t>10-5.1_6  &lt;&lt; Ds+Dop+Ts+W &gt;&gt;</t>
  </si>
  <si>
    <t>10-5.1_7  &lt;&lt; Ds+Dop+Ts+W &gt;&gt;</t>
  </si>
  <si>
    <t>10-5.1_8  &lt;&lt; Ds+Dop+Ts+W &gt;&gt;</t>
  </si>
  <si>
    <t>10-5.1_9  &lt;&lt; Ds+Dop+Ts+W &gt;&gt;</t>
  </si>
  <si>
    <t>10-5.1_10  &lt;&lt; Ds+Dop+Ts+W &gt;&gt;</t>
  </si>
  <si>
    <t>10-5.1_11  &lt;&lt; Ds+Dop+Ts+W &gt;&gt;</t>
  </si>
  <si>
    <t>10-5.1_12  &lt;&lt; Ds+Dop+Ts+W &gt;&gt;</t>
  </si>
  <si>
    <t>10-5.1_13  &lt;&lt; Ds+Dop+Ts+W &gt;&gt;</t>
  </si>
  <si>
    <t>10-5.1_14  &lt;&lt; Ds+Dop+Ts+W &gt;&gt;</t>
  </si>
  <si>
    <t>10-5.1_15  &lt;&lt; Ds+Dop+Ts+W &gt;&gt;</t>
  </si>
  <si>
    <t>10-5.1_16  &lt;&lt; Ds+Dop+Ts+W &gt;&gt;</t>
  </si>
  <si>
    <t>10-5.2_1  &lt;&lt; Ds+Dop+Ts+0.7Eo &gt;&gt;</t>
  </si>
  <si>
    <t>10-5.2_2  &lt;&lt; Ds+Dop+Ts+0.7Eo &gt;&gt;</t>
  </si>
  <si>
    <t>10-5.2_3  &lt;&lt; Ds+Dop+Ts+0.7Eo &gt;&gt;</t>
  </si>
  <si>
    <t>10-5.2_4  &lt;&lt; Ds+Dop+Ts+0.7Eo &gt;&gt;</t>
  </si>
  <si>
    <t>10-6a.1_1  &lt;&lt; Ds+Dop+Ts+0.35L+0.3W+0.35S &gt;&gt;</t>
  </si>
  <si>
    <t>10-6a.1_2  &lt;&lt; Ds+Dop+Ts+0.35L+0.3W+0.35S &gt;&gt;</t>
  </si>
  <si>
    <t>10-6a.1_3  &lt;&lt; Ds+Dop+Ts+0.35L+0.3W+0.35S &gt;&gt;</t>
  </si>
  <si>
    <t>10-6a.1_4  &lt;&lt; Ds+Dop+Ts+0.35L+0.3W+0.35S &gt;&gt;</t>
  </si>
  <si>
    <t>10-6a.1_5  &lt;&lt; Ds+Dop+Ts+0.35L+0.3W+0.35S &gt;&gt;</t>
  </si>
  <si>
    <t>10-6a.1_6  &lt;&lt; Ds+Dop+Ts+0.35L+0.3W+0.35S &gt;&gt;</t>
  </si>
  <si>
    <t>10-6a.1_7  &lt;&lt; Ds+Dop+Ts+0.35L+0.3W+0.35S &gt;&gt;</t>
  </si>
  <si>
    <t>10-6a.1_8  &lt;&lt; Ds+Dop+Ts+0.35L+0.3W+0.35S &gt;&gt;</t>
  </si>
  <si>
    <t>10-6a.1_9  &lt;&lt; Ds+Dop+Ts+0.35L+0.3W+0.35S &gt;&gt;</t>
  </si>
  <si>
    <t>10-6a.1_10  &lt;&lt; Ds+Dop+Ts+0.35L+0.3W+0.35S &gt;&gt;</t>
  </si>
  <si>
    <t>10-6a.1_11  &lt;&lt; Ds+Dop+Ts+0.35L+0.3W+0.35S &gt;&gt;</t>
  </si>
  <si>
    <t>10-6a.1_12  &lt;&lt; Ds+Dop+Ts+0.35L+0.3W+0.35S &gt;&gt;</t>
  </si>
  <si>
    <t>10-6a.1_13  &lt;&lt; Ds+Dop+Ts+0.35L+0.3W+0.35S &gt;&gt;</t>
  </si>
  <si>
    <t>10-6a.1_14  &lt;&lt; Ds+Dop+Ts+0.35L+0.3W+0.35S &gt;&gt;</t>
  </si>
  <si>
    <t>10-6a.1_15  &lt;&lt; Ds+Dop+Ts+0.35L+0.3W+0.35S &gt;&gt;</t>
  </si>
  <si>
    <t>10-6a.1_16  &lt;&lt; Ds+Dop+Ts+0.35L+0.3W+0.35S &gt;&gt;</t>
  </si>
  <si>
    <t>10-6b_1  &lt;&lt; Ds+Dop+Ts+0.35L+0.75(0.7Eo)+0.35S &gt;&gt;</t>
  </si>
  <si>
    <t>10-6b_2  &lt;&lt; Ds+Dop+Ts+0.35L+0.75(0.7Eo)+0.35S &gt;&gt;</t>
  </si>
  <si>
    <t>10-6b_3  &lt;&lt; Ds+Dop+Ts+0.35L+0.75(0.7Eo)+0.35S &gt;&gt;</t>
  </si>
  <si>
    <t>10-6b_4  &lt;&lt; Ds+Dop+Ts+0.35L+0.75(0.7Eo)+0.35S &gt;&gt;</t>
  </si>
  <si>
    <t>10-7.1_1  &lt;&lt; 0.6(Ds+De)+Ts+W &gt;&gt;</t>
  </si>
  <si>
    <t>10-7.1_2  &lt;&lt; 0.6(Ds+De)+Ts+W &gt;&gt;</t>
  </si>
  <si>
    <t>10-7.1_3  &lt;&lt; 0.6(Ds+De)+Ts+W &gt;&gt;</t>
  </si>
  <si>
    <t>10-7.1_4  &lt;&lt; 0.6(Ds+De)+Ts+W &gt;&gt;</t>
  </si>
  <si>
    <t>10-7.1_5  &lt;&lt; 0.6(Ds+De)+Ts+W &gt;&gt;</t>
  </si>
  <si>
    <t>10-7.1_6  &lt;&lt; 0.6(Ds+De)+Ts+W &gt;&gt;</t>
  </si>
  <si>
    <t>10-7.1_7  &lt;&lt; 0.6(Ds+De)+Ts+W &gt;&gt;</t>
  </si>
  <si>
    <t>10-7.1_8  &lt;&lt; 0.6(Ds+De)+Ts+W &gt;&gt;</t>
  </si>
  <si>
    <t>10-7.1_9  &lt;&lt; 0.6(Ds+De)+Ts+W &gt;&gt;</t>
  </si>
  <si>
    <t>10-7.1_10  &lt;&lt; 0.6(Ds+De)+Ts+W &gt;&gt;</t>
  </si>
  <si>
    <t>10-7.1_11  &lt;&lt; 0.6(Ds+De)+Ts+W &gt;&gt;</t>
  </si>
  <si>
    <t>10-7.1_12  &lt;&lt; 0.6(Ds+De)+Ts+W &gt;&gt;</t>
  </si>
  <si>
    <t>10-7.1_13  &lt;&lt; 0.6(Ds+De)+Ts+W &gt;&gt;</t>
  </si>
  <si>
    <t>10-7.1_14  &lt;&lt; 0.6(Ds+De)+Ts+W &gt;&gt;</t>
  </si>
  <si>
    <t>10-7.1_15  &lt;&lt; 0.6(Ds+De)+Ts+W &gt;&gt;</t>
  </si>
  <si>
    <t>10-7.1_16  &lt;&lt; 0.6(Ds+De)+Ts+W &gt;&gt;</t>
  </si>
  <si>
    <t>10-7.2_1  &lt;&lt; 0.6(Ds+Dop)+Ts+W &gt;&gt;</t>
  </si>
  <si>
    <t>10-7.2_2  &lt;&lt; 0.6(Ds+Dop)+Ts+W &gt;&gt;</t>
  </si>
  <si>
    <t>10-7.2_3  &lt;&lt; 0.6(Ds+Dop)+Ts+W &gt;&gt;</t>
  </si>
  <si>
    <t>10-7.2_4  &lt;&lt; 0.6(Ds+Dop)+Ts+W &gt;&gt;</t>
  </si>
  <si>
    <t>10-7.2_5  &lt;&lt; 0.6(Ds+Dop)+Ts+W &gt;&gt;</t>
  </si>
  <si>
    <t>10-7.2_6  &lt;&lt; 0.6(Ds+Dop)+Ts+W &gt;&gt;</t>
  </si>
  <si>
    <t>10-7.2_7  &lt;&lt; 0.6(Ds+Dop)+Ts+W &gt;&gt;</t>
  </si>
  <si>
    <t>10-7.2_8  &lt;&lt; 0.6(Ds+Dop)+Ts+W &gt;&gt;</t>
  </si>
  <si>
    <t>10-7.2_9  &lt;&lt; 0.6(Ds+Dop)+Ts+W &gt;&gt;</t>
  </si>
  <si>
    <t>10-7.2_10  &lt;&lt; 0.6(Ds+Dop)+Ts+W &gt;&gt;</t>
  </si>
  <si>
    <t>10-7.2_11  &lt;&lt; 0.6(Ds+Dop)+Ts+W &gt;&gt;</t>
  </si>
  <si>
    <t>10-7.2_12  &lt;&lt; 0.6(Ds+Dop)+Ts+W &gt;&gt;</t>
  </si>
  <si>
    <t>10-7.2_13  &lt;&lt; 0.6(Ds+Dop)+Ts+W &gt;&gt;</t>
  </si>
  <si>
    <t>10-7.2_14  &lt;&lt; 0.6(Ds+Dop)+Ts+W &gt;&gt;</t>
  </si>
  <si>
    <t>10-7.2_15  &lt;&lt; 0.6(Ds+Dop)+Ts+W &gt;&gt;</t>
  </si>
  <si>
    <t>10-7.2_16  &lt;&lt; 0.6(Ds+Dop)+Ts+W &gt;&gt;</t>
  </si>
  <si>
    <t>10-8.1_1  &lt;&lt; 0.6(Ds+De)+Ts+0.7Ee &gt;&gt;</t>
  </si>
  <si>
    <t>10-8.1_2  &lt;&lt; 0.6(Ds+De)+Ts+0.7Ee &gt;&gt;</t>
  </si>
  <si>
    <t>10-8.1_3  &lt;&lt; 0.6(Ds+De)+Ts+0.7Ee &gt;&gt;</t>
  </si>
  <si>
    <t>10-8.1_4  &lt;&lt; 0.6(Ds+De)+Ts+0.7Ee &gt;&gt;</t>
  </si>
  <si>
    <t>10-8.2_1  &lt;&lt; 0.6(Ds+Dop)+Ts+0.7Eo &gt;&gt;</t>
  </si>
  <si>
    <t>10-8.2_2  &lt;&lt; 0.6(Ds+Dop)+Ts+0.7Eo &gt;&gt;</t>
  </si>
  <si>
    <t>10-8.2_3  &lt;&lt; 0.6(Ds+Dop)+Ts+0.7Eo &gt;&gt;</t>
  </si>
  <si>
    <t>10-8.2_4  &lt;&lt; 0.6(Ds+Dop)+Ts+0.7Eo &gt;&gt;</t>
  </si>
  <si>
    <t>(SLS) Local Member Design Only</t>
  </si>
  <si>
    <t>10-4.1_1  &lt;&lt; Ds+Dop+Ts+0.75Tt+0.75L+0.75S &gt;&gt;</t>
  </si>
  <si>
    <t>10-4.1_2  &lt;&lt; Ds+Dop+Ts+0.75Tt+0.75L+0.75S &gt;&gt;</t>
  </si>
  <si>
    <t>10-4.1_3  &lt;&lt; Ds+Dop+Ts+0.75Tt+0.75L+0.75S &gt;&gt;</t>
  </si>
  <si>
    <t>10-4.1_4  &lt;&lt; Ds+Dop+Ts+0.75Tt+0.75L+0.75S &gt;&gt;</t>
  </si>
  <si>
    <t xml:space="preserve">Assuming "Deq" as "Deqx" in the "X" direction and "Deqz" in the "Z" direction are both in the lateral direction, and the Y-axis is in the vertical direction. </t>
  </si>
  <si>
    <t>Transportation Load Combinations</t>
  </si>
  <si>
    <t>1.25D+1.5lv+1.5lh = (2Ds+2Deqx+0.375Dsx+0.375Deqx)</t>
  </si>
  <si>
    <t>1.25D+1.5lv+1.5lh = (2Ds+2Deqx-0.375Dsx-0.375Deqx)</t>
  </si>
  <si>
    <t>1.25D+1.5lv+1.5lh = (2Ds+2De-0.375Dsz+0.375Deqz)</t>
  </si>
  <si>
    <t>1.25D+1.5lv+1.5lh = (2Ds+2De-0.375Dsz-0.375Deqz)</t>
  </si>
  <si>
    <t>1.25D+1.5W=(2.00DV+1.5W10x)</t>
  </si>
  <si>
    <t>1.25D+1.5W = (2.00DV-1.5W10x)</t>
  </si>
  <si>
    <t>1.25D+1.5W =(2.00DV+1.5W10z)</t>
  </si>
  <si>
    <t>1.25D+1.5W = (2.00DV-1.5W10z)</t>
  </si>
  <si>
    <t>1.25D+0.70(1.50 lv+1.50 lh+1.50W)=(1.775Ds+1.775Deq+0.2625Dsx+0.2625Deqx+1.05W10x</t>
  </si>
  <si>
    <t>1.25D+0.70(1.50 lv+1.50 lh+1.50W)=(1.775Ds+1.775Deq-0.2625Dsx-0.2625Deqx-1.05W10x</t>
  </si>
  <si>
    <t>1.25D+0.70(1.50 lv+1.50 lh+1.50W)=(1.775Ds+1.775Deq+0.2625Dsz+0.2625Deqz+1.05W10z</t>
  </si>
  <si>
    <t>1.25D+0.70(1.50 lv+1.50 lh+1.50W)=(1.775Ds+1.775Deq-0.2625Dsz-0.2625Deqz-1.05W10z</t>
  </si>
  <si>
    <t>Lifting Load Combination</t>
  </si>
  <si>
    <t>1.65D (for members) = 1.65Ds + 1.65Deq</t>
  </si>
  <si>
    <t>3.50D (for lifting lugs) = 3.5Ds + 3.5Deq</t>
  </si>
  <si>
    <t>Lifting/Transportation Deflection</t>
  </si>
  <si>
    <t>1.0D (to compare with lifting lug capacity)</t>
  </si>
  <si>
    <t>Transportation of Modules / PA’s</t>
  </si>
  <si>
    <t>Illustration of module transportation with C.O.G., truck, and frame diagram.</t>
  </si>
  <si>
    <t>Transportation of Modules / PA’s – Design Criteria per B11</t>
  </si>
  <si>
    <t>Acceleration limits 0.50g vertical, 0.25g horizontal</t>
  </si>
  <si>
    <t>Consideration of:</t>
  </si>
  <si>
    <t>D (dead loads): steel, fireproofing, equipment, piping</t>
  </si>
  <si>
    <t>Iv (vertical impact): considered only "down"</t>
  </si>
  <si>
    <t>Ih (horizontal impact): due to braking or acceleration (longitudinal &amp; transverse)</t>
  </si>
  <si>
    <t>H (horizontal loads): due to grade or superelevation (longitudinal &amp; transverse)</t>
  </si>
  <si>
    <t>W (wind loads)</t>
  </si>
  <si>
    <t>Long. and Trans. loads not considered concurrently</t>
  </si>
  <si>
    <t>No information about load combinations</t>
  </si>
  <si>
    <t>Suggest, for Limit States Design:</t>
  </si>
  <si>
    <t>1.25 D + 1.50 Iv + 1.50 H + 1.50 Ih</t>
  </si>
  <si>
    <t>1.25 D + 1.50 W</t>
  </si>
  <si>
    <t>1.25 D + 0.70(1.50 Iv + 1.50 H + 1.50 Ih + 1.50 W)</t>
  </si>
  <si>
    <t>H based on 10% grade or superelevation</t>
  </si>
  <si>
    <t>W based on q10</t>
  </si>
  <si>
    <t>Wall</t>
  </si>
  <si>
    <t>kPa</t>
  </si>
  <si>
    <t>Roof</t>
  </si>
  <si>
    <t>Grating</t>
  </si>
  <si>
    <t>floor plate</t>
  </si>
  <si>
    <t>Allowance Load</t>
  </si>
  <si>
    <t>4.1.4.1 – Dead Loads:</t>
  </si>
  <si>
    <t>(a) weight of the member itself</t>
  </si>
  <si>
    <t>(b) weight of all construction materials permanently supported</t>
  </si>
  <si>
    <t>(c) weight of partitions</t>
  </si>
  <si>
    <t>(d) weight of permanent equipment</t>
  </si>
  <si>
    <t>(e) vertical load from earth, plants, trees</t>
  </si>
  <si>
    <t>Design Criteria:</t>
  </si>
  <si>
    <t>Ds = Self Weight (Primary + Secondary Members)</t>
  </si>
  <si>
    <t>Deq = Empty Equipment (Fixed Equipment)</t>
  </si>
  <si>
    <t>Dc = Cable Tray Dead Load</t>
  </si>
  <si>
    <t>A</t>
  </si>
  <si>
    <t>COLD-FORMED STEEL (GIRTS/PURLINS/ROOF DECKING)</t>
  </si>
  <si>
    <t>CLADDING SYSTEMS (CURTAIN WALLS/SIDING/MASONRY VENEER/EXTERIOR PANELS)</t>
  </si>
  <si>
    <t>ROOFING MATERIAL (METAL PANELS/TILES/MEMBRANE)</t>
  </si>
  <si>
    <t>OPENINGS (DOORS/WINDOWS/LOUVERS/SKYLIGHTS/ROOF HATCH)</t>
  </si>
  <si>
    <t>MISCELLANEOUS (HANDRAILS/GUARDRAILS/CANOPIES/PARAPETS/SUNSHADES)</t>
  </si>
  <si>
    <t>FASTENERS/CONNECTIONS/FRAMING</t>
  </si>
  <si>
    <t>OTHER</t>
  </si>
  <si>
    <t>NONE</t>
  </si>
  <si>
    <t>Building Dimensions:</t>
  </si>
  <si>
    <t xml:space="preserve">WRoof = </t>
  </si>
  <si>
    <t>m</t>
  </si>
  <si>
    <t>LRoof =</t>
  </si>
  <si>
    <t xml:space="preserve">Hroof = </t>
  </si>
  <si>
    <t xml:space="preserve">WRoof x = WREaves = </t>
  </si>
  <si>
    <t>Lbldg =</t>
  </si>
  <si>
    <t>Hbldg =</t>
  </si>
  <si>
    <t xml:space="preserve">WBldg = </t>
  </si>
  <si>
    <t>Href =</t>
  </si>
  <si>
    <t xml:space="preserve">HEaves = </t>
  </si>
  <si>
    <t>Hopening =</t>
  </si>
  <si>
    <t>Select Province</t>
  </si>
  <si>
    <t>Alberta</t>
  </si>
  <si>
    <t>Select City/Town</t>
  </si>
  <si>
    <t>Fort MacLeod</t>
  </si>
  <si>
    <t>Enter Location:</t>
  </si>
  <si>
    <t>Inuvik</t>
  </si>
  <si>
    <t xml:space="preserve">(e.g., Calgary) </t>
  </si>
  <si>
    <t>or</t>
  </si>
  <si>
    <t>Enter Coordinates:</t>
  </si>
  <si>
    <t>(Refer Article 4.1.6, Division B , Part 4 ,Volume 1,NBCC 2020)</t>
  </si>
  <si>
    <t>Snow Load (SL)</t>
  </si>
  <si>
    <t>Snow Load (Snow +Rain)</t>
  </si>
  <si>
    <t>S = Is  [Ss (Cb Cw Cs Ca) + Sr]</t>
  </si>
  <si>
    <t>Limit States</t>
  </si>
  <si>
    <t>ULS</t>
  </si>
  <si>
    <t>(Table 4.1.6.2-A)</t>
  </si>
  <si>
    <t>Importance Category for Snow load:</t>
  </si>
  <si>
    <t>Normal</t>
  </si>
  <si>
    <t>Importance Factor for Snow Load (Is)</t>
  </si>
  <si>
    <t>Is</t>
  </si>
  <si>
    <t>=</t>
  </si>
  <si>
    <t>Ss</t>
  </si>
  <si>
    <t>(Table C-2 ,  Appendix C)</t>
  </si>
  <si>
    <t>1/50 year Associated Rain Load</t>
  </si>
  <si>
    <t>Sr</t>
  </si>
  <si>
    <t xml:space="preserve">Basic Roof Snow Load Factor          </t>
  </si>
  <si>
    <t>NBCC 2020 Section 4.1.6.2 (5)</t>
  </si>
  <si>
    <t>Gable roof snow load factor</t>
  </si>
  <si>
    <t>Cb =</t>
  </si>
  <si>
    <t xml:space="preserve">0.8 for lc ≤  (70/Cw²) </t>
  </si>
  <si>
    <t xml:space="preserve">WREaves = </t>
  </si>
  <si>
    <t>lc = 2w-(w²/l)</t>
  </si>
  <si>
    <t xml:space="preserve">lc ≤  </t>
  </si>
  <si>
    <t>Cb</t>
  </si>
  <si>
    <t>Wind exposure factor</t>
  </si>
  <si>
    <t>NBCC 2020 - Section 4.1.6.2 (3) , 4.1.6.2 (4)</t>
  </si>
  <si>
    <t>Calgary</t>
  </si>
  <si>
    <t>Cw</t>
  </si>
  <si>
    <t>57.3913126,-111.0493588</t>
  </si>
  <si>
    <t>ProvKey</t>
  </si>
  <si>
    <t>Key</t>
  </si>
  <si>
    <t>Result (auto-filled)</t>
  </si>
  <si>
    <t>Province</t>
  </si>
  <si>
    <t>Province and Location</t>
  </si>
  <si>
    <t>Elev., m</t>
  </si>
  <si>
    <t>Jan 2.5% °C</t>
  </si>
  <si>
    <t>Jan 1% °C</t>
  </si>
  <si>
    <t>Jul 2.5% Dry °C</t>
  </si>
  <si>
    <t>Jul 2.5% Wet °C</t>
  </si>
  <si>
    <t>Degree-Days &lt;18°C</t>
  </si>
  <si>
    <t>15-min Rain, mm</t>
  </si>
  <si>
    <t>One Day Rain 1/50, mm</t>
  </si>
  <si>
    <t>Annual Rain, mm</t>
  </si>
  <si>
    <t>Moist. Index</t>
  </si>
  <si>
    <t>Ann. Total Ppn., mm</t>
  </si>
  <si>
    <t>Driving Rain Pressure Pa (1/5)</t>
  </si>
  <si>
    <t>Snow Ss kPa (1/50)</t>
  </si>
  <si>
    <t>Snow Sr kPa (1/50)</t>
  </si>
  <si>
    <t>Hourly Wind kPa (1/10)</t>
  </si>
  <si>
    <t>Hourly Wind kPa (1/50)</t>
  </si>
  <si>
    <t>Roof slope factor</t>
  </si>
  <si>
    <t>α =</t>
  </si>
  <si>
    <t>arctan(Hroof/0.5WRoof - Flat)</t>
  </si>
  <si>
    <t>°</t>
  </si>
  <si>
    <t>a)</t>
  </si>
  <si>
    <t>Cs =</t>
  </si>
  <si>
    <t>if</t>
  </si>
  <si>
    <t>α ≤ 30°</t>
  </si>
  <si>
    <t>b)</t>
  </si>
  <si>
    <t xml:space="preserve">(70° − α)/40°     </t>
  </si>
  <si>
    <t xml:space="preserve"> ≯ </t>
  </si>
  <si>
    <t xml:space="preserve">30° &gt; α &lt; 70°  </t>
  </si>
  <si>
    <t xml:space="preserve">° </t>
  </si>
  <si>
    <t>c)</t>
  </si>
  <si>
    <t xml:space="preserve">Cs = </t>
  </si>
  <si>
    <t>α &gt; 70°</t>
  </si>
  <si>
    <t>Cs</t>
  </si>
  <si>
    <t>Accumulation factor</t>
  </si>
  <si>
    <t>If</t>
  </si>
  <si>
    <t>Ca =</t>
  </si>
  <si>
    <t>Ca</t>
  </si>
  <si>
    <t>Otherwise</t>
  </si>
  <si>
    <t xml:space="preserve">a) Non-Uniform Snow Load at lower level Roof.  </t>
  </si>
  <si>
    <t xml:space="preserve">b) Non-Uniform Snow Loads adjacent to roof projections which include: </t>
  </si>
  <si>
    <t>Equipment</t>
  </si>
  <si>
    <t xml:space="preserve">c) Non-Uniform Snow Loads for </t>
  </si>
  <si>
    <t>d) Snow/Ice load due to sliding.</t>
  </si>
  <si>
    <t>e) Increased snow loads in roof valleys as prescribed in:</t>
  </si>
  <si>
    <t>f) Increased Snow or Ice loads due to meltwater draining from adjacent</t>
  </si>
  <si>
    <t xml:space="preserve">    building elements and roof projections.</t>
  </si>
  <si>
    <t xml:space="preserve"> </t>
  </si>
  <si>
    <t>Associated rain load</t>
  </si>
  <si>
    <t xml:space="preserve">Sr  ≤  Ss (Cb Cw Cs Ca) </t>
  </si>
  <si>
    <t>(Refer Article 4.1.7, Division B , Part 4 ,Volume 1,NBCC 2020)</t>
  </si>
  <si>
    <t>Static Procedure</t>
  </si>
  <si>
    <t xml:space="preserve">NBCC 2020 - 4.1.7.3 </t>
  </si>
  <si>
    <t>Importance Category for wind load:</t>
  </si>
  <si>
    <t>Importance Factor for Wind Load (Iw)</t>
  </si>
  <si>
    <t>Iw</t>
  </si>
  <si>
    <t>(Table 4.1.7.3)</t>
  </si>
  <si>
    <t>Wind external pressure/suction:</t>
  </si>
  <si>
    <t>p = Iw q Ce Ct Cg Cp</t>
  </si>
  <si>
    <t>Average air density</t>
  </si>
  <si>
    <t>ρ</t>
  </si>
  <si>
    <t>kg/m3</t>
  </si>
  <si>
    <t>Wind speed:</t>
  </si>
  <si>
    <t>(1/50 years)</t>
  </si>
  <si>
    <t>V</t>
  </si>
  <si>
    <t>m/s</t>
  </si>
  <si>
    <t>(Table C-1 ,  Appendix C)</t>
  </si>
  <si>
    <t>Reference velocity pressure</t>
  </si>
  <si>
    <t xml:space="preserve">q = 0.5 ρ V 2 </t>
  </si>
  <si>
    <t>q = 0.00064645 V2</t>
  </si>
  <si>
    <t xml:space="preserve">Basic wind pressure </t>
  </si>
  <si>
    <t>q</t>
  </si>
  <si>
    <t>Terrain</t>
  </si>
  <si>
    <t>Ce</t>
  </si>
  <si>
    <t>For the Reference Height of the Structure:</t>
  </si>
  <si>
    <t>Open</t>
  </si>
  <si>
    <t>(h/10)0.2</t>
  </si>
  <si>
    <t>≥</t>
  </si>
  <si>
    <t>Rough</t>
  </si>
  <si>
    <t>0.7*(h/12)0.3</t>
  </si>
  <si>
    <t>Heaves =</t>
  </si>
  <si>
    <t>Table 4.1.7.6.</t>
  </si>
  <si>
    <t>External Peak Values of C gC p in Figure 4.1.7.6.-A</t>
  </si>
  <si>
    <t xml:space="preserve">a) Href ≤ 20 m  &amp; Href &lt; WBldg </t>
  </si>
  <si>
    <t>Column1</t>
  </si>
  <si>
    <t>Column2</t>
  </si>
  <si>
    <t>Column3</t>
  </si>
  <si>
    <t>Column4</t>
  </si>
  <si>
    <t>Column5</t>
  </si>
  <si>
    <t>Column6</t>
  </si>
  <si>
    <t>1E</t>
  </si>
  <si>
    <t xml:space="preserve">b) Href &gt; 20 m  &amp; Href &lt; WBldg </t>
  </si>
  <si>
    <t>Otherwise:</t>
  </si>
  <si>
    <t>2E</t>
  </si>
  <si>
    <t xml:space="preserve">i) H = Heaves = </t>
  </si>
  <si>
    <t>m ≯ 20 m</t>
  </si>
  <si>
    <t>for      α =</t>
  </si>
  <si>
    <t>3E</t>
  </si>
  <si>
    <t>4E</t>
  </si>
  <si>
    <t>For the Exposure Factor, Ce:</t>
  </si>
  <si>
    <t>5E</t>
  </si>
  <si>
    <t>NBCC 2020 Section 4.1.7.3 (5)</t>
  </si>
  <si>
    <t>6E</t>
  </si>
  <si>
    <t>Type of terrain</t>
  </si>
  <si>
    <t>Load Cases</t>
  </si>
  <si>
    <t>B</t>
  </si>
  <si>
    <t>Ce =</t>
  </si>
  <si>
    <t xml:space="preserve">(Href/10)0.2       </t>
  </si>
  <si>
    <t>Surface</t>
  </si>
  <si>
    <t xml:space="preserve"> 0° to 5°</t>
  </si>
  <si>
    <t xml:space="preserve"> 20°</t>
  </si>
  <si>
    <t xml:space="preserve"> 30° to 45°</t>
  </si>
  <si>
    <t xml:space="preserve"> 90°</t>
  </si>
  <si>
    <t xml:space="preserve"> 0° to 90°</t>
  </si>
  <si>
    <t xml:space="preserve">b)  </t>
  </si>
  <si>
    <t xml:space="preserve"> 0.7(Href/12)0.3 </t>
  </si>
  <si>
    <t xml:space="preserve">≥ </t>
  </si>
  <si>
    <t xml:space="preserve"> Ce &lt; 1000m or Ce &lt; 20Href</t>
  </si>
  <si>
    <t xml:space="preserve"> See Note A-4.1.7.3.(5)(c).</t>
  </si>
  <si>
    <t>For the Topographic Factor, Ct:</t>
  </si>
  <si>
    <t>Ct</t>
  </si>
  <si>
    <t>NBCC 2020 Section 4.1.7.4</t>
  </si>
  <si>
    <t>For the Gust Effect Factor, Cg:</t>
  </si>
  <si>
    <t>NBCC 2020 - Section 4.1.7.3 (8)</t>
  </si>
  <si>
    <t>a) Primary Members (Structural Steel)</t>
  </si>
  <si>
    <t>Cg</t>
  </si>
  <si>
    <t>a) Primary Members</t>
  </si>
  <si>
    <t>BEAMS</t>
  </si>
  <si>
    <t>b) Secondary Members</t>
  </si>
  <si>
    <t xml:space="preserve">For the External Pressure Coefficients, Cp: </t>
  </si>
  <si>
    <t xml:space="preserve">NBCC 2020 - Section 4.1.7.5  </t>
  </si>
  <si>
    <t>1)</t>
  </si>
  <si>
    <t>b) Article 4.1.7.6. for certain shapes of low buildings.</t>
  </si>
  <si>
    <t>O.K.</t>
  </si>
  <si>
    <t>2)</t>
  </si>
  <si>
    <t>Main Structural System, the value Cp</t>
  </si>
  <si>
    <t xml:space="preserve">Hparallel = </t>
  </si>
  <si>
    <t xml:space="preserve">Dparallel = </t>
  </si>
  <si>
    <t xml:space="preserve">H/D = </t>
  </si>
  <si>
    <t xml:space="preserve">a) </t>
  </si>
  <si>
    <t>Windward face:</t>
  </si>
  <si>
    <t xml:space="preserve">Cp = 0.6 for H/D &lt; </t>
  </si>
  <si>
    <t>Cp = 0.27(H/D +2)</t>
  </si>
  <si>
    <t>0.25 ≤ H/D &lt; 1.0</t>
  </si>
  <si>
    <t>Cp =</t>
  </si>
  <si>
    <t xml:space="preserve"> Windward face. </t>
  </si>
  <si>
    <t>.=</t>
  </si>
  <si>
    <t>Cp = 0.8 for H/D ≥ 1.0</t>
  </si>
  <si>
    <t xml:space="preserve">Leeward face: </t>
  </si>
  <si>
    <t>C p = –0.3 for H/D &lt; 0.25</t>
  </si>
  <si>
    <t>Cp = –0.27(H/D + 0.88) for 0.25 ≤ H/D &lt; 1.0</t>
  </si>
  <si>
    <t xml:space="preserve"> Leeward face. </t>
  </si>
  <si>
    <t>Cp = –0.5 for H/D ≥ 1.0</t>
  </si>
  <si>
    <t>Walls parallel to the wind:</t>
  </si>
  <si>
    <t>Walls parallel to the wind.</t>
  </si>
  <si>
    <t>(See Note A-4.1.7.5.(2) and (3).)</t>
  </si>
  <si>
    <t>3)</t>
  </si>
  <si>
    <t>For the roof design, x = distance from the upwind roof edge (2E, 3E &amp; 4E are considered upwind edges).</t>
  </si>
  <si>
    <t xml:space="preserve"> H/D ≥ 1.0, C p = –1.0</t>
  </si>
  <si>
    <t>H/D &lt; 1.0</t>
  </si>
  <si>
    <t>C p = –1.0 for x ≤ H, and</t>
  </si>
  <si>
    <t>C p = –0.5 for x &gt; H.</t>
  </si>
  <si>
    <t>4)</t>
  </si>
  <si>
    <t xml:space="preserve">Design of Cladding/Secondary structural elements. </t>
  </si>
  <si>
    <t>For Detailed Design …</t>
  </si>
  <si>
    <t xml:space="preserve">NBCC 2020 -  Section 4.1.7.6. </t>
  </si>
  <si>
    <t>External Pressure Coefficients for Low Buildings</t>
  </si>
  <si>
    <t xml:space="preserve">1)    </t>
  </si>
  <si>
    <t xml:space="preserve"> For Building with heights H ≤  20 m &amp; &lt; WBldg, then the following as per 4.1.7.6 (2) &amp; 4.1.7.6 (9) can be used. </t>
  </si>
  <si>
    <t>For Main Structural Building Design effected by pressures exterted in more than one surface</t>
  </si>
  <si>
    <t xml:space="preserve"> (See Fig. 4.1.7.6-A),</t>
  </si>
  <si>
    <t xml:space="preserve"> Values of CgCp are provided in Table 4.1.7.6</t>
  </si>
  <si>
    <t>Figure 4.1.7.6.-A</t>
  </si>
  <si>
    <t xml:space="preserve">3) </t>
  </si>
  <si>
    <t>For the design of individual walls and wall cladding, the values of CgCp are provided in Figure 4.1.7.6.-B.</t>
  </si>
  <si>
    <t xml:space="preserve">4) 
</t>
  </si>
  <si>
    <t>5)</t>
  </si>
  <si>
    <t>End-zone width z is the lesser of 10% of the least horizontal dimension and 40% of height, H, but not less
than 4% of the least horizontal dimension or 1 m.</t>
  </si>
  <si>
    <t>Main Structural Building Design effected by pressures exterted in more than one surface</t>
  </si>
  <si>
    <t xml:space="preserve">Z1 = </t>
  </si>
  <si>
    <t>Z2 =</t>
  </si>
  <si>
    <t xml:space="preserve"> Z = Z1 + Z2 = 0.1WBldg + 0.4HEaves =</t>
  </si>
  <si>
    <t>Y = 2Z =</t>
  </si>
  <si>
    <t>6)</t>
  </si>
  <si>
    <t>B/H &gt; 5</t>
  </si>
  <si>
    <t xml:space="preserve">B/H = </t>
  </si>
  <si>
    <t>≯ 5</t>
  </si>
  <si>
    <t>N.G.</t>
  </si>
  <si>
    <t>Load Case</t>
  </si>
  <si>
    <t>Roof Slope</t>
  </si>
  <si>
    <t>1</t>
  </si>
  <si>
    <t>2</t>
  </si>
  <si>
    <t>3</t>
  </si>
  <si>
    <t>4</t>
  </si>
  <si>
    <t>5</t>
  </si>
  <si>
    <t>6</t>
  </si>
  <si>
    <t>–</t>
  </si>
  <si>
    <t>yo =</t>
  </si>
  <si>
    <t>Cg1 Cp1 =</t>
  </si>
  <si>
    <t>Cg1 Cp1.=</t>
  </si>
  <si>
    <t xml:space="preserve">Bulding Surface </t>
  </si>
  <si>
    <t>y1 =</t>
  </si>
  <si>
    <t>Cg2 Cp2 =</t>
  </si>
  <si>
    <t xml:space="preserve">Cg2 Cp2 = </t>
  </si>
  <si>
    <t>Cg Cp</t>
  </si>
  <si>
    <t xml:space="preserve"> = </t>
  </si>
  <si>
    <t>(Interpolated Value)</t>
  </si>
  <si>
    <t xml:space="preserve">Load Case A: </t>
  </si>
  <si>
    <t>p =</t>
  </si>
  <si>
    <t>(Cg Cp)  kPa</t>
  </si>
  <si>
    <t>Load Case B:</t>
  </si>
  <si>
    <t xml:space="preserve"> p=</t>
  </si>
  <si>
    <t>(Cg Cp)   kPa</t>
  </si>
  <si>
    <t xml:space="preserve"> kPa</t>
  </si>
  <si>
    <t xml:space="preserve">(3) Design of Individual walls/cladding. </t>
  </si>
  <si>
    <t>6) For the design of gabled or hipped, single-ridge roofs with a slope greater than
7°, the values of CgCp are provided in Figure 4.1.7.6.-E.</t>
  </si>
  <si>
    <t>NBCC 2020 -  Section 4.1.7.3. (1)</t>
  </si>
  <si>
    <t>Iw q Ce Ct Cg Cp</t>
  </si>
  <si>
    <t>ULS - 1/10 year Wind - Primary Members</t>
  </si>
  <si>
    <t>ULS - 1/50 year Wind - Primary Members</t>
  </si>
  <si>
    <t>SLS - 1/10 year Wind - Primary Members</t>
  </si>
  <si>
    <t>SLS - 1/50 year Wind - Primary Members</t>
  </si>
  <si>
    <t>NBCC 2020 - Section 4.1.7.3 (3)</t>
  </si>
  <si>
    <t>pi = Iw q Cei Ct Cgi Cpi</t>
  </si>
  <si>
    <t>Type of terrain:</t>
  </si>
  <si>
    <t>For the Exposure Factor of internal pressures, Cei:</t>
  </si>
  <si>
    <t>°  where the wind direction is parallel to the ridge.</t>
  </si>
  <si>
    <t xml:space="preserve">At point 2E where    α = </t>
  </si>
  <si>
    <t>°  where the wind direction is perpendicular to the ridge.</t>
  </si>
  <si>
    <t xml:space="preserve">At point 2 where      α = </t>
  </si>
  <si>
    <t xml:space="preserve">At point 3 where      α = </t>
  </si>
  <si>
    <t xml:space="preserve">At point 3E where    α = </t>
  </si>
  <si>
    <t xml:space="preserve">At point 4 where      α = </t>
  </si>
  <si>
    <t xml:space="preserve">At point 4E where      α = </t>
  </si>
  <si>
    <t>NBCC 2020 Section 4.1.7.3 (7)</t>
  </si>
  <si>
    <t xml:space="preserve">If the building Href &gt; 20 m  &amp; has a </t>
  </si>
  <si>
    <t>Dominant Opening (Select)</t>
  </si>
  <si>
    <t xml:space="preserve">and the opening at mid-height is Zmid = </t>
  </si>
  <si>
    <t xml:space="preserve">m  </t>
  </si>
  <si>
    <t>Cei = Ce  at the mid-height of the opening is</t>
  </si>
  <si>
    <t xml:space="preserve">Otherwise, if Href  ≥ 6 m, </t>
  </si>
  <si>
    <t xml:space="preserve">Cei = Ce = </t>
  </si>
  <si>
    <t>Note: H = Heaves, Href = Heaves if Slope &lt; 7</t>
  </si>
  <si>
    <t>For the Gust Effect Factor of internal pressures, Cgi:</t>
  </si>
  <si>
    <t xml:space="preserve">NBCC 2020 Section 4.1.7.4 (10) </t>
  </si>
  <si>
    <t>Cgi =</t>
  </si>
  <si>
    <t xml:space="preserve">For structures with large unpartitioned volumes and few overhead doors: </t>
  </si>
  <si>
    <t>Cg i=</t>
  </si>
  <si>
    <t xml:space="preserve">V0 = </t>
  </si>
  <si>
    <t>m3</t>
  </si>
  <si>
    <t xml:space="preserve">A = </t>
  </si>
  <si>
    <t>m2</t>
  </si>
  <si>
    <t>For the Internal Pressures Coefficient, Cpi:</t>
  </si>
  <si>
    <t xml:space="preserve">NBCC 2020 - Section 4.1.7.7 (1) </t>
  </si>
  <si>
    <t>Cpi for buildings with the following openings:</t>
  </si>
  <si>
    <t xml:space="preserve">Uniformly distributed small openings amounting to less than 0.1% of the to building Surface Area </t>
  </si>
  <si>
    <t>-.15  ≤  x  ≤  0</t>
  </si>
  <si>
    <t xml:space="preserve">Non-uniform non-significant distributed openings, or significant wind resistant operational openings. </t>
  </si>
  <si>
    <t>-.45  ≤  x  ≤  .30</t>
  </si>
  <si>
    <t xml:space="preserve">Large openings to remain </t>
  </si>
  <si>
    <t>-.70  ≤  x  ≤  .70</t>
  </si>
  <si>
    <t xml:space="preserve">Cpi = </t>
  </si>
  <si>
    <t>NBCC 2020 - Section 4.1.7.3 (3) - Internal Pressure suction due to wind</t>
  </si>
  <si>
    <t xml:space="preserve">pi = </t>
  </si>
  <si>
    <t>Iw q Cei Ct Cgi Cpi</t>
  </si>
  <si>
    <t xml:space="preserve">ULS -  Normal Importance - 1/50 year wind  - flat topographic surface -  Href &gt; 6m - Pressure exerted on building with large openings likely to remaing open. </t>
  </si>
  <si>
    <t xml:space="preserve">ULS -  Normal Importance - 1/50 year wind  - flat topographic surface -  Href &gt; 6m - Structures with large unpartitioned volumes and few overhead doors - Pressure exerted on building with large openings likely to remaing open. </t>
  </si>
  <si>
    <t xml:space="preserve">ULS -  Normal Importance - 1/50 year wind  - flat topographic surface -  Href &gt; 6m - Structures with large unpartitioned volumes and few overhead doors - Suction exerted on building with large openings likely to remaing open. </t>
  </si>
  <si>
    <t>(Refer Article 4.1.8, Division B , Part 4 ,Volume 1,NBCC 2020)</t>
  </si>
  <si>
    <t>Earthquake Loads</t>
  </si>
  <si>
    <t>Seismic Load (WL)</t>
  </si>
  <si>
    <t>(Table 4.1.2.1)</t>
  </si>
  <si>
    <t>Importance Category</t>
  </si>
  <si>
    <t>(Table 4.1.8.5-A)</t>
  </si>
  <si>
    <t>Importance factor for seismic load (IE)</t>
  </si>
  <si>
    <t>IE</t>
  </si>
  <si>
    <t xml:space="preserve">(e.g., Calgary, AB) </t>
  </si>
  <si>
    <t>https://ags.aer.ca/interactive-data-and-tools/coordinate-conversion-tools/latitude-and-longitude-ats</t>
  </si>
  <si>
    <t>ATS to Geographic Degrees | Alberta Geological Survey</t>
  </si>
  <si>
    <t>Alberta Earthquakes | Alberta Geological Survey</t>
  </si>
  <si>
    <t>Location Entry Values</t>
  </si>
  <si>
    <t xml:space="preserve">Coordinates Entry Value </t>
  </si>
  <si>
    <t>(Table 4.1.8.4.-C)</t>
  </si>
  <si>
    <t>Design Spectral Acceleration S(T) for period T:</t>
  </si>
  <si>
    <t>S(0.2)</t>
  </si>
  <si>
    <t>2020 National Building Code of Canada Seismic Hazard Tool</t>
  </si>
  <si>
    <t>S(0.5)</t>
  </si>
  <si>
    <t>S(1.0)</t>
  </si>
  <si>
    <t>S(2.0)</t>
  </si>
  <si>
    <t>S(5.0)</t>
  </si>
  <si>
    <t>S(10.0)</t>
  </si>
  <si>
    <t xml:space="preserve">Peak Ground Acceleration </t>
  </si>
  <si>
    <t>PGA</t>
  </si>
  <si>
    <t>(Table 4.1.8.4.-B)</t>
  </si>
  <si>
    <t>Site Classification based on geotechnical report</t>
  </si>
  <si>
    <t>Site Class</t>
  </si>
  <si>
    <t>D</t>
  </si>
  <si>
    <t>(Table 4.1.8.5.-B)</t>
  </si>
  <si>
    <t>Seismic Category of buildings</t>
  </si>
  <si>
    <t>For steel piperack and process structures</t>
  </si>
  <si>
    <t>Type of SFRS: Conventional construction of moment-resisting frames, braced frames or plate walls for assembly occupancies or other occupancies</t>
  </si>
  <si>
    <t>Ductility-Related ForceModification Factors</t>
  </si>
  <si>
    <t>Rd</t>
  </si>
  <si>
    <t>(Table 4.1.8.9)</t>
  </si>
  <si>
    <t>Overstrength-Related Force Modification Factors</t>
  </si>
  <si>
    <t>Ro</t>
  </si>
  <si>
    <t>Equivalent Static Force Procedure (Saticfying the conditions of Article 4.1.8.7)</t>
  </si>
  <si>
    <t>Lateral earthquake force</t>
  </si>
  <si>
    <t>S(Ta)  Mv  IE  W</t>
  </si>
  <si>
    <t>Rd  Ro</t>
  </si>
  <si>
    <t>Moment-Resisting Frame</t>
  </si>
  <si>
    <t>Braced Frame</t>
  </si>
  <si>
    <t>V shall not be less than</t>
  </si>
  <si>
    <t>V shall not be greater than the larger of</t>
  </si>
  <si>
    <t>W, M, S, and HP Section Properties from AISC Version 13.0 CD Database (Dec. 2005) and AISC 13th Edition Manual (Dec. 2005)</t>
  </si>
  <si>
    <t>Height of the structure</t>
  </si>
  <si>
    <t>hn</t>
  </si>
  <si>
    <t>Shape</t>
  </si>
  <si>
    <t>d</t>
  </si>
  <si>
    <t>tw</t>
  </si>
  <si>
    <t>bf</t>
  </si>
  <si>
    <t>tf</t>
  </si>
  <si>
    <t>Fundamental lateral period (Ta)</t>
  </si>
  <si>
    <t>Tam</t>
  </si>
  <si>
    <t>0.085 (hn)0.75</t>
  </si>
  <si>
    <t>W1100x499</t>
  </si>
  <si>
    <t>gage</t>
  </si>
  <si>
    <t>wt./ft.</t>
  </si>
  <si>
    <t>bf/(2*tf)</t>
  </si>
  <si>
    <t>h/tw</t>
  </si>
  <si>
    <t>Ix</t>
  </si>
  <si>
    <t>Sx</t>
  </si>
  <si>
    <t>For steel moment-resisting frames</t>
  </si>
  <si>
    <t>W1100x433</t>
  </si>
  <si>
    <t>S(Tam)</t>
  </si>
  <si>
    <t>W1100x390</t>
  </si>
  <si>
    <t>k(des)</t>
  </si>
  <si>
    <t>k(det)</t>
  </si>
  <si>
    <t>k1</t>
  </si>
  <si>
    <t>T</t>
  </si>
  <si>
    <t>rx</t>
  </si>
  <si>
    <t>Zx</t>
  </si>
  <si>
    <t>Iy</t>
  </si>
  <si>
    <t>Sy</t>
  </si>
  <si>
    <t>ry</t>
  </si>
  <si>
    <t>Zy</t>
  </si>
  <si>
    <t>rts</t>
  </si>
  <si>
    <t>ho</t>
  </si>
  <si>
    <t>J</t>
  </si>
  <si>
    <t>Wno</t>
  </si>
  <si>
    <t>Sw</t>
  </si>
  <si>
    <t>Qf</t>
  </si>
  <si>
    <t>Qw</t>
  </si>
  <si>
    <t>Tab</t>
  </si>
  <si>
    <t>0.025 (hn)</t>
  </si>
  <si>
    <t>W1100x343</t>
  </si>
  <si>
    <t>W44x335</t>
  </si>
  <si>
    <t>For braced frames</t>
  </si>
  <si>
    <t>sec</t>
  </si>
  <si>
    <t>W1000x883</t>
  </si>
  <si>
    <t>W44x290</t>
  </si>
  <si>
    <t>W1000x748</t>
  </si>
  <si>
    <t>W44x262</t>
  </si>
  <si>
    <t>Higher Mode factor</t>
  </si>
  <si>
    <t>Mv</t>
  </si>
  <si>
    <t>(Table 4.1.8.11)</t>
  </si>
  <si>
    <t>W1000x642</t>
  </si>
  <si>
    <t>W44x230</t>
  </si>
  <si>
    <t>(Moment-Resisting Frames and Braced Frames)</t>
  </si>
  <si>
    <t>W1000x591</t>
  </si>
  <si>
    <t>W40x593</t>
  </si>
  <si>
    <t>W1000x554</t>
  </si>
  <si>
    <t>W40x503</t>
  </si>
  <si>
    <t>W1000x539</t>
  </si>
  <si>
    <t>W40x431</t>
  </si>
  <si>
    <t xml:space="preserve">Therefore consider </t>
  </si>
  <si>
    <t xml:space="preserve">W </t>
  </si>
  <si>
    <t>W1000x483</t>
  </si>
  <si>
    <t>W40x397</t>
  </si>
  <si>
    <t>(for both moment and braced frames)</t>
  </si>
  <si>
    <t>W40x372</t>
  </si>
  <si>
    <t>W40x362</t>
  </si>
  <si>
    <t>W1000x371</t>
  </si>
  <si>
    <t>W40x324</t>
  </si>
  <si>
    <t>W1000x321</t>
  </si>
  <si>
    <t>W1000x296</t>
  </si>
  <si>
    <t>W1000x584</t>
  </si>
  <si>
    <t>W40x249</t>
  </si>
  <si>
    <t>W1000x494</t>
  </si>
  <si>
    <t>W40x215</t>
  </si>
  <si>
    <t>W1000x486</t>
  </si>
  <si>
    <t>W40x199</t>
  </si>
  <si>
    <t>W1000x438</t>
  </si>
  <si>
    <t>W40x392</t>
  </si>
  <si>
    <t>W1000x415</t>
  </si>
  <si>
    <t>W40x331</t>
  </si>
  <si>
    <t>W1000x393</t>
  </si>
  <si>
    <t>W40x327</t>
  </si>
  <si>
    <t>W1000x350</t>
  </si>
  <si>
    <t>W40x294</t>
  </si>
  <si>
    <t>W1000x314</t>
  </si>
  <si>
    <t>W40x278</t>
  </si>
  <si>
    <t>W1000x272</t>
  </si>
  <si>
    <t>W40x264</t>
  </si>
  <si>
    <t>W1000x249</t>
  </si>
  <si>
    <t>W40x235</t>
  </si>
  <si>
    <t>W1000x222</t>
  </si>
  <si>
    <t>W40x211</t>
  </si>
  <si>
    <t>W920x1191</t>
  </si>
  <si>
    <t>W40x183</t>
  </si>
  <si>
    <t>W920x970</t>
  </si>
  <si>
    <t>W40x167</t>
  </si>
  <si>
    <t>W920x787</t>
  </si>
  <si>
    <t>W40x149</t>
  </si>
  <si>
    <t>W920x725</t>
  </si>
  <si>
    <t>W36x800</t>
  </si>
  <si>
    <t>W920x656</t>
  </si>
  <si>
    <t>W36x652</t>
  </si>
  <si>
    <t>W920x588</t>
  </si>
  <si>
    <t>W36x529</t>
  </si>
  <si>
    <t>W920x537</t>
  </si>
  <si>
    <t>W36x487</t>
  </si>
  <si>
    <t>W920x491</t>
  </si>
  <si>
    <t>W36x441</t>
  </si>
  <si>
    <t>W920x449</t>
  </si>
  <si>
    <t>W36x395</t>
  </si>
  <si>
    <t>W920x420</t>
  </si>
  <si>
    <t>W36x361</t>
  </si>
  <si>
    <t>W920x390</t>
  </si>
  <si>
    <t>W36x330</t>
  </si>
  <si>
    <t>W920x368</t>
  </si>
  <si>
    <t>W36x302</t>
  </si>
  <si>
    <t>W920x344</t>
  </si>
  <si>
    <t>W36x282</t>
  </si>
  <si>
    <t>W920x381</t>
  </si>
  <si>
    <t>W36x262</t>
  </si>
  <si>
    <t>W920x345</t>
  </si>
  <si>
    <t>W36x247</t>
  </si>
  <si>
    <t>W920x313</t>
  </si>
  <si>
    <t>W36x231</t>
  </si>
  <si>
    <t>W920x289</t>
  </si>
  <si>
    <t>W36x256</t>
  </si>
  <si>
    <t>W920x271</t>
  </si>
  <si>
    <t>W36x232</t>
  </si>
  <si>
    <t>W920x253</t>
  </si>
  <si>
    <t>W36x210</t>
  </si>
  <si>
    <t>W920x238</t>
  </si>
  <si>
    <t>W36x194</t>
  </si>
  <si>
    <t>W920x223</t>
  </si>
  <si>
    <t>W36x182</t>
  </si>
  <si>
    <t>W920x201</t>
  </si>
  <si>
    <t>W36x170</t>
  </si>
  <si>
    <t>W840x576</t>
  </si>
  <si>
    <t>W36x160</t>
  </si>
  <si>
    <t>W840x527</t>
  </si>
  <si>
    <t>W36x150</t>
  </si>
  <si>
    <t>W840x473</t>
  </si>
  <si>
    <t>W36x135</t>
  </si>
  <si>
    <t>W840x433</t>
  </si>
  <si>
    <t>W33x387</t>
  </si>
  <si>
    <t>W840x392</t>
  </si>
  <si>
    <t>W33x354</t>
  </si>
  <si>
    <t>W840x359</t>
  </si>
  <si>
    <t>W33x318</t>
  </si>
  <si>
    <t>W840x329</t>
  </si>
  <si>
    <t>W33x291</t>
  </si>
  <si>
    <t>W840x299</t>
  </si>
  <si>
    <t>W33x263</t>
  </si>
  <si>
    <t>W840x251</t>
  </si>
  <si>
    <t>W33x241</t>
  </si>
  <si>
    <t>W840x226</t>
  </si>
  <si>
    <t>W33x221</t>
  </si>
  <si>
    <t>W840x210</t>
  </si>
  <si>
    <t>W33x201</t>
  </si>
  <si>
    <t>W840x193</t>
  </si>
  <si>
    <t>W33x169</t>
  </si>
  <si>
    <t>W840x176</t>
  </si>
  <si>
    <t>W33x152</t>
  </si>
  <si>
    <t>W760x582</t>
  </si>
  <si>
    <t>W33x141</t>
  </si>
  <si>
    <t>W760x531</t>
  </si>
  <si>
    <t>W33x130</t>
  </si>
  <si>
    <t>W760x484</t>
  </si>
  <si>
    <t>W33x118</t>
  </si>
  <si>
    <t>W760x434</t>
  </si>
  <si>
    <t>W30x391</t>
  </si>
  <si>
    <t>W760x389</t>
  </si>
  <si>
    <t>W30x357</t>
  </si>
  <si>
    <t>W760x350</t>
  </si>
  <si>
    <t>W30x326</t>
  </si>
  <si>
    <t>W760x314</t>
  </si>
  <si>
    <t>W30x292</t>
  </si>
  <si>
    <t>W760x284</t>
  </si>
  <si>
    <t>W30x261</t>
  </si>
  <si>
    <t>W760x257</t>
  </si>
  <si>
    <t>W30x235</t>
  </si>
  <si>
    <t>W760x220</t>
  </si>
  <si>
    <t>W30x211</t>
  </si>
  <si>
    <t>W760x196</t>
  </si>
  <si>
    <t>W30x191</t>
  </si>
  <si>
    <t>W760x185</t>
  </si>
  <si>
    <t>W30x173</t>
  </si>
  <si>
    <t>W760x173</t>
  </si>
  <si>
    <t>W30x148</t>
  </si>
  <si>
    <t>W760x161</t>
  </si>
  <si>
    <t>W30x132</t>
  </si>
  <si>
    <t>W760x147</t>
  </si>
  <si>
    <t>W30x124</t>
  </si>
  <si>
    <t>W760x134</t>
  </si>
  <si>
    <t>W30x116</t>
  </si>
  <si>
    <t>W690x802</t>
  </si>
  <si>
    <t>W30x108</t>
  </si>
  <si>
    <t>W690x548</t>
  </si>
  <si>
    <t>W30x99</t>
  </si>
  <si>
    <t>W690x500</t>
  </si>
  <si>
    <t>W30x90</t>
  </si>
  <si>
    <t>W690x457</t>
  </si>
  <si>
    <t>W27x539</t>
  </si>
  <si>
    <t>W690x419</t>
  </si>
  <si>
    <t>W27x368</t>
  </si>
  <si>
    <t>W690x384</t>
  </si>
  <si>
    <t>W27x336</t>
  </si>
  <si>
    <t>W690x350</t>
  </si>
  <si>
    <t>W27x307</t>
  </si>
  <si>
    <t>W690x323</t>
  </si>
  <si>
    <t>W27x281</t>
  </si>
  <si>
    <t>W690x289</t>
  </si>
  <si>
    <t>W27x258</t>
  </si>
  <si>
    <t>W690x265</t>
  </si>
  <si>
    <t>W27x235</t>
  </si>
  <si>
    <t>W690x240</t>
  </si>
  <si>
    <t>W27x217</t>
  </si>
  <si>
    <t>W690x217</t>
  </si>
  <si>
    <t>W27x194</t>
  </si>
  <si>
    <t>W690x192</t>
  </si>
  <si>
    <t>W27x178</t>
  </si>
  <si>
    <t>W690x170</t>
  </si>
  <si>
    <t>W27x161</t>
  </si>
  <si>
    <t>W690x152</t>
  </si>
  <si>
    <t>W27x146</t>
  </si>
  <si>
    <t>W690x140</t>
  </si>
  <si>
    <t>W27x129</t>
  </si>
  <si>
    <t>W690x125</t>
  </si>
  <si>
    <t>W27x114</t>
  </si>
  <si>
    <t>W610x551</t>
  </si>
  <si>
    <t>W27x102</t>
  </si>
  <si>
    <t>W610x498</t>
  </si>
  <si>
    <t>W27x94</t>
  </si>
  <si>
    <t>W610x455</t>
  </si>
  <si>
    <t>W27x84</t>
  </si>
  <si>
    <t>W610x415</t>
  </si>
  <si>
    <t>W24x370</t>
  </si>
  <si>
    <t>W610x372</t>
  </si>
  <si>
    <t>W24x335</t>
  </si>
  <si>
    <t>W610x341</t>
  </si>
  <si>
    <t>W24x306</t>
  </si>
  <si>
    <t>W610x307</t>
  </si>
  <si>
    <t>W24x279</t>
  </si>
  <si>
    <t>W610x285</t>
  </si>
  <si>
    <t>W24x250</t>
  </si>
  <si>
    <t>W610x262</t>
  </si>
  <si>
    <t>W24x229</t>
  </si>
  <si>
    <t>W610x241</t>
  </si>
  <si>
    <t>W24x207</t>
  </si>
  <si>
    <t>W610x217</t>
  </si>
  <si>
    <t>W24x192</t>
  </si>
  <si>
    <t>W610x195</t>
  </si>
  <si>
    <t>W24x176</t>
  </si>
  <si>
    <t>W610x174</t>
  </si>
  <si>
    <t>W24x162</t>
  </si>
  <si>
    <t>W610x155</t>
  </si>
  <si>
    <t>W24x146</t>
  </si>
  <si>
    <t>W610x153</t>
  </si>
  <si>
    <t>W24x131</t>
  </si>
  <si>
    <t>W610x140</t>
  </si>
  <si>
    <t>W24x117</t>
  </si>
  <si>
    <t>W610x125</t>
  </si>
  <si>
    <t>W24x104</t>
  </si>
  <si>
    <t>W610x113</t>
  </si>
  <si>
    <t>W24x103</t>
  </si>
  <si>
    <t>W610x101</t>
  </si>
  <si>
    <t>W24x94</t>
  </si>
  <si>
    <t>W610x91</t>
  </si>
  <si>
    <t>W24x84</t>
  </si>
  <si>
    <t>W610x84</t>
  </si>
  <si>
    <t>W24x76</t>
  </si>
  <si>
    <t>W610x92</t>
  </si>
  <si>
    <t>W24x68</t>
  </si>
  <si>
    <t>W610x82</t>
  </si>
  <si>
    <t>W24x61</t>
  </si>
  <si>
    <t>W530x300</t>
  </si>
  <si>
    <t>W24x56</t>
  </si>
  <si>
    <t>W530x272</t>
  </si>
  <si>
    <t>W24x62</t>
  </si>
  <si>
    <t>W530x248</t>
  </si>
  <si>
    <t>W24x55</t>
  </si>
  <si>
    <t>W530x219</t>
  </si>
  <si>
    <t>W21x201</t>
  </si>
  <si>
    <t>W530x196</t>
  </si>
  <si>
    <t>W21x182</t>
  </si>
  <si>
    <t>W530x182</t>
  </si>
  <si>
    <t>W21x166</t>
  </si>
  <si>
    <t>W530x165</t>
  </si>
  <si>
    <t>W21x147</t>
  </si>
  <si>
    <t>W530x150</t>
  </si>
  <si>
    <t>W21x132</t>
  </si>
  <si>
    <t>W530x138</t>
  </si>
  <si>
    <t>W21x122</t>
  </si>
  <si>
    <t>W530x123</t>
  </si>
  <si>
    <t>W21x111</t>
  </si>
  <si>
    <t>W530x109</t>
  </si>
  <si>
    <t>W21x101</t>
  </si>
  <si>
    <t>W530x101</t>
  </si>
  <si>
    <t>W21x93</t>
  </si>
  <si>
    <t>W530x92</t>
  </si>
  <si>
    <t>W21x83</t>
  </si>
  <si>
    <t>W530x82</t>
  </si>
  <si>
    <t>W21x73</t>
  </si>
  <si>
    <t>W530x72</t>
  </si>
  <si>
    <t>W21x68</t>
  </si>
  <si>
    <t>W530x85</t>
  </si>
  <si>
    <t>W21x62</t>
  </si>
  <si>
    <t>W530x74</t>
  </si>
  <si>
    <t>W21x55</t>
  </si>
  <si>
    <t>W530x66</t>
  </si>
  <si>
    <t>W21x48</t>
  </si>
  <si>
    <t>W460x464</t>
  </si>
  <si>
    <t>W21x57</t>
  </si>
  <si>
    <t>W460x421</t>
  </si>
  <si>
    <t>W21x50</t>
  </si>
  <si>
    <t>W460x384</t>
  </si>
  <si>
    <t>W21x44</t>
  </si>
  <si>
    <t>W460x349</t>
  </si>
  <si>
    <t>W18x311</t>
  </si>
  <si>
    <t>W460x315</t>
  </si>
  <si>
    <t>W18x283</t>
  </si>
  <si>
    <t>W460x286</t>
  </si>
  <si>
    <t>W18x258</t>
  </si>
  <si>
    <t>W460x260</t>
  </si>
  <si>
    <t>W18x234</t>
  </si>
  <si>
    <t>W460x235</t>
  </si>
  <si>
    <t>W18x211</t>
  </si>
  <si>
    <t>W460x213</t>
  </si>
  <si>
    <t>W18x192</t>
  </si>
  <si>
    <t>W460x193</t>
  </si>
  <si>
    <t>W18x175</t>
  </si>
  <si>
    <t>W460x177</t>
  </si>
  <si>
    <t>W18x158</t>
  </si>
  <si>
    <t>W460x158</t>
  </si>
  <si>
    <t>W18x143</t>
  </si>
  <si>
    <t>W460x144</t>
  </si>
  <si>
    <t>W18x130</t>
  </si>
  <si>
    <t>W460x128</t>
  </si>
  <si>
    <t>W18x119</t>
  </si>
  <si>
    <t>W460x113</t>
  </si>
  <si>
    <t>W18x106</t>
  </si>
  <si>
    <t>W460x106</t>
  </si>
  <si>
    <t>W18x97</t>
  </si>
  <si>
    <t>W460x97</t>
  </si>
  <si>
    <t>W18x86</t>
  </si>
  <si>
    <t>W460x89</t>
  </si>
  <si>
    <t>W18x76</t>
  </si>
  <si>
    <t>W460x82</t>
  </si>
  <si>
    <t>W18x71</t>
  </si>
  <si>
    <t>W460x74</t>
  </si>
  <si>
    <t>W18x65</t>
  </si>
  <si>
    <t>W460x67</t>
  </si>
  <si>
    <t>W18x60</t>
  </si>
  <si>
    <t>W460x61</t>
  </si>
  <si>
    <t>W18x55</t>
  </si>
  <si>
    <t>W460x68</t>
  </si>
  <si>
    <t>W18x50</t>
  </si>
  <si>
    <t>W460x60</t>
  </si>
  <si>
    <t>W18x45</t>
  </si>
  <si>
    <t>W460x52</t>
  </si>
  <si>
    <t>W18x41</t>
  </si>
  <si>
    <t>W410x149</t>
  </si>
  <si>
    <t>W18x46</t>
  </si>
  <si>
    <t>W410x132</t>
  </si>
  <si>
    <t>W18x40</t>
  </si>
  <si>
    <t>W410x114</t>
  </si>
  <si>
    <t>W18x35</t>
  </si>
  <si>
    <t>W410x100</t>
  </si>
  <si>
    <t>W16x100</t>
  </si>
  <si>
    <t>W410x85</t>
  </si>
  <si>
    <t>W16x89</t>
  </si>
  <si>
    <t>W410x74</t>
  </si>
  <si>
    <t>W16x77</t>
  </si>
  <si>
    <t>W410x67</t>
  </si>
  <si>
    <t>W16x67</t>
  </si>
  <si>
    <t>W410x60</t>
  </si>
  <si>
    <t>W16x57</t>
  </si>
  <si>
    <t>W410x54</t>
  </si>
  <si>
    <t>W16x50</t>
  </si>
  <si>
    <t>W410x46</t>
  </si>
  <si>
    <t>W16x45</t>
  </si>
  <si>
    <t>W410x39</t>
  </si>
  <si>
    <t>W16x40</t>
  </si>
  <si>
    <t>W360x1086</t>
  </si>
  <si>
    <t>W16x36</t>
  </si>
  <si>
    <t>W360x990</t>
  </si>
  <si>
    <t>W16x31</t>
  </si>
  <si>
    <t>W360x900</t>
  </si>
  <si>
    <t>W16x26</t>
  </si>
  <si>
    <t>W360x818</t>
  </si>
  <si>
    <t>W14x730</t>
  </si>
  <si>
    <t>W360x744</t>
  </si>
  <si>
    <t>W14x665</t>
  </si>
  <si>
    <t>W360x677</t>
  </si>
  <si>
    <t>W14x605</t>
  </si>
  <si>
    <t>W360x634</t>
  </si>
  <si>
    <t>W14x550</t>
  </si>
  <si>
    <t>W360x592</t>
  </si>
  <si>
    <t>W14x500</t>
  </si>
  <si>
    <t>W360x551</t>
  </si>
  <si>
    <t>W14x455</t>
  </si>
  <si>
    <t>W360x509</t>
  </si>
  <si>
    <t>W14x426</t>
  </si>
  <si>
    <t>W360x463</t>
  </si>
  <si>
    <t>W14x398</t>
  </si>
  <si>
    <t>W360x421</t>
  </si>
  <si>
    <t>W14x370</t>
  </si>
  <si>
    <t>W360x382</t>
  </si>
  <si>
    <t>W14x342</t>
  </si>
  <si>
    <t>W360x347</t>
  </si>
  <si>
    <t>W14x311</t>
  </si>
  <si>
    <t>W360x314</t>
  </si>
  <si>
    <t>W14x283</t>
  </si>
  <si>
    <t>W360x287</t>
  </si>
  <si>
    <t>W14x257</t>
  </si>
  <si>
    <t>W360x262</t>
  </si>
  <si>
    <t>W14x233</t>
  </si>
  <si>
    <t>W360x237</t>
  </si>
  <si>
    <t>W14x211</t>
  </si>
  <si>
    <t>W360x216</t>
  </si>
  <si>
    <t>W14x193</t>
  </si>
  <si>
    <t>W360x196</t>
  </si>
  <si>
    <t>W14x176</t>
  </si>
  <si>
    <t>W360x179</t>
  </si>
  <si>
    <t>W14x159</t>
  </si>
  <si>
    <t>W360x162</t>
  </si>
  <si>
    <t>W14x145</t>
  </si>
  <si>
    <t>W360x147</t>
  </si>
  <si>
    <t>W14x132</t>
  </si>
  <si>
    <t>W360x134</t>
  </si>
  <si>
    <t>W14x120</t>
  </si>
  <si>
    <t>W360x122</t>
  </si>
  <si>
    <t>W14x109</t>
  </si>
  <si>
    <t>W360x110</t>
  </si>
  <si>
    <t>W14x99</t>
  </si>
  <si>
    <t>W360x101</t>
  </si>
  <si>
    <t>W14x90</t>
  </si>
  <si>
    <t>W360x91</t>
  </si>
  <si>
    <t>W14x82</t>
  </si>
  <si>
    <t>W360x79</t>
  </si>
  <si>
    <t>W14x74</t>
  </si>
  <si>
    <t>W360x72</t>
  </si>
  <si>
    <t>W14x68</t>
  </si>
  <si>
    <t>W360x64</t>
  </si>
  <si>
    <t>W14x61</t>
  </si>
  <si>
    <t>W360x57</t>
  </si>
  <si>
    <t>W14x53</t>
  </si>
  <si>
    <t>W360x51</t>
  </si>
  <si>
    <t>W14x48</t>
  </si>
  <si>
    <t>W360x45</t>
  </si>
  <si>
    <t>W14x43</t>
  </si>
  <si>
    <t>W360x39</t>
  </si>
  <si>
    <t>W14x38</t>
  </si>
  <si>
    <t>W360x33</t>
  </si>
  <si>
    <t>W14x34</t>
  </si>
  <si>
    <t>W310x500</t>
  </si>
  <si>
    <t>W14x30</t>
  </si>
  <si>
    <t>W310x454</t>
  </si>
  <si>
    <t>W14x26</t>
  </si>
  <si>
    <t>W310x415</t>
  </si>
  <si>
    <t>W14x22</t>
  </si>
  <si>
    <t>W310x375</t>
  </si>
  <si>
    <t>W12x336</t>
  </si>
  <si>
    <t>W310x342</t>
  </si>
  <si>
    <t>W12x305</t>
  </si>
  <si>
    <t>W310x313</t>
  </si>
  <si>
    <t>W12x279</t>
  </si>
  <si>
    <t>W310x283</t>
  </si>
  <si>
    <t>W12x252</t>
  </si>
  <si>
    <t>W310x253</t>
  </si>
  <si>
    <t>W12x230</t>
  </si>
  <si>
    <t>W310x226</t>
  </si>
  <si>
    <t>W12x210</t>
  </si>
  <si>
    <t>W310x202</t>
  </si>
  <si>
    <t>W12x190</t>
  </si>
  <si>
    <t>W310x179</t>
  </si>
  <si>
    <t>W12x170</t>
  </si>
  <si>
    <t>W310x158</t>
  </si>
  <si>
    <t>W12x152</t>
  </si>
  <si>
    <t>W310x143</t>
  </si>
  <si>
    <t>W12x136</t>
  </si>
  <si>
    <t>W310x129</t>
  </si>
  <si>
    <t>W12x120</t>
  </si>
  <si>
    <t>W310x118</t>
  </si>
  <si>
    <t>W12x106</t>
  </si>
  <si>
    <t>W310x107</t>
  </si>
  <si>
    <t>W12x96</t>
  </si>
  <si>
    <t>W310x97</t>
  </si>
  <si>
    <t>W12x87</t>
  </si>
  <si>
    <t>W310x86</t>
  </si>
  <si>
    <t>W12x79</t>
  </si>
  <si>
    <t>W310x79</t>
  </si>
  <si>
    <t>W12x72</t>
  </si>
  <si>
    <t>W310x74</t>
  </si>
  <si>
    <t>W12x65</t>
  </si>
  <si>
    <t>W310x67</t>
  </si>
  <si>
    <t>W12x58</t>
  </si>
  <si>
    <t>W310x60</t>
  </si>
  <si>
    <t>W12x53</t>
  </si>
  <si>
    <t>W310x52</t>
  </si>
  <si>
    <t>W12x50</t>
  </si>
  <si>
    <t>W310x45</t>
  </si>
  <si>
    <t>W12x45</t>
  </si>
  <si>
    <t>W310x39</t>
  </si>
  <si>
    <t>W12x40</t>
  </si>
  <si>
    <t>W310x31</t>
  </si>
  <si>
    <t>W12x35</t>
  </si>
  <si>
    <t>W310x33</t>
  </si>
  <si>
    <t>W12x30</t>
  </si>
  <si>
    <t>W310x28</t>
  </si>
  <si>
    <t>W12x26</t>
  </si>
  <si>
    <t>W310x24</t>
  </si>
  <si>
    <t>W12x21</t>
  </si>
  <si>
    <t>W310x21</t>
  </si>
  <si>
    <t>W12x22</t>
  </si>
  <si>
    <t>W250x167</t>
  </si>
  <si>
    <t>W12x19</t>
  </si>
  <si>
    <t>W250x149</t>
  </si>
  <si>
    <t>W12x16</t>
  </si>
  <si>
    <t>W250x131</t>
  </si>
  <si>
    <t>W12x14</t>
  </si>
  <si>
    <t>W250x115</t>
  </si>
  <si>
    <t>W10x112</t>
  </si>
  <si>
    <t>W250x101</t>
  </si>
  <si>
    <t>W10x100</t>
  </si>
  <si>
    <t>W250x89</t>
  </si>
  <si>
    <t>W10x88</t>
  </si>
  <si>
    <t>W250x80</t>
  </si>
  <si>
    <t>W10x77</t>
  </si>
  <si>
    <t>W250x73</t>
  </si>
  <si>
    <t>W10x68</t>
  </si>
  <si>
    <t>W250x67</t>
  </si>
  <si>
    <t>W10x60</t>
  </si>
  <si>
    <t>W250x58</t>
  </si>
  <si>
    <t>W10x54</t>
  </si>
  <si>
    <t>W250x49</t>
  </si>
  <si>
    <t>W10x49</t>
  </si>
  <si>
    <t>W250x45</t>
  </si>
  <si>
    <t>W10x45</t>
  </si>
  <si>
    <t>W250x39</t>
  </si>
  <si>
    <t>W10x39</t>
  </si>
  <si>
    <t>W250x33</t>
  </si>
  <si>
    <t>W10x33</t>
  </si>
  <si>
    <t>W250x24</t>
  </si>
  <si>
    <t>W10x30</t>
  </si>
  <si>
    <t>W250x28</t>
  </si>
  <si>
    <t>W10x26</t>
  </si>
  <si>
    <t>W250x25</t>
  </si>
  <si>
    <t>W10x22</t>
  </si>
  <si>
    <t>W250x22</t>
  </si>
  <si>
    <t>W10x16</t>
  </si>
  <si>
    <t>W250x18</t>
  </si>
  <si>
    <t>W10x19</t>
  </si>
  <si>
    <t>W200x100</t>
  </si>
  <si>
    <t>W10x17</t>
  </si>
  <si>
    <t>W200x86</t>
  </si>
  <si>
    <t>W10x15</t>
  </si>
  <si>
    <t>W200x71</t>
  </si>
  <si>
    <t>W10x12</t>
  </si>
  <si>
    <t>W200x59</t>
  </si>
  <si>
    <t>W8x67</t>
  </si>
  <si>
    <t>W200x52</t>
  </si>
  <si>
    <t>W8x58</t>
  </si>
  <si>
    <t>W200x46</t>
  </si>
  <si>
    <t>W8x48</t>
  </si>
  <si>
    <t>W200x42</t>
  </si>
  <si>
    <t>W8x40</t>
  </si>
  <si>
    <t>W200x36</t>
  </si>
  <si>
    <t>W8x35</t>
  </si>
  <si>
    <t>W200x31</t>
  </si>
  <si>
    <t>W8x31</t>
  </si>
  <si>
    <t>W200x27</t>
  </si>
  <si>
    <t>W8x28</t>
  </si>
  <si>
    <t>W200x21</t>
  </si>
  <si>
    <t>W8x24</t>
  </si>
  <si>
    <t>W200x22</t>
  </si>
  <si>
    <t>W8x21</t>
  </si>
  <si>
    <t>W200x19</t>
  </si>
  <si>
    <t>W8x18</t>
  </si>
  <si>
    <t>W200x15</t>
  </si>
  <si>
    <t>W8x14</t>
  </si>
  <si>
    <t>W150x37</t>
  </si>
  <si>
    <t>W8x15</t>
  </si>
  <si>
    <t>W150x30</t>
  </si>
  <si>
    <t>W8x13</t>
  </si>
  <si>
    <t>W150x22</t>
  </si>
  <si>
    <t>W8x10</t>
  </si>
  <si>
    <t>W150x24</t>
  </si>
  <si>
    <t>W6x25</t>
  </si>
  <si>
    <t>W150x18</t>
  </si>
  <si>
    <t>W6x20</t>
  </si>
  <si>
    <t>W150x14</t>
  </si>
  <si>
    <t>W6x15</t>
  </si>
  <si>
    <t>W150x13</t>
  </si>
  <si>
    <t>W6x16</t>
  </si>
  <si>
    <t>W130x28</t>
  </si>
  <si>
    <t>W6x12</t>
  </si>
  <si>
    <t>W130x24</t>
  </si>
  <si>
    <t>W6x9</t>
  </si>
  <si>
    <t>W100x19</t>
  </si>
  <si>
    <t>W6x8.5</t>
  </si>
  <si>
    <t>S610x180</t>
  </si>
  <si>
    <t>W5x19</t>
  </si>
  <si>
    <t>S610x158</t>
  </si>
  <si>
    <t>W5x16</t>
  </si>
  <si>
    <t>S610x149</t>
  </si>
  <si>
    <t>W4x13</t>
  </si>
  <si>
    <t>S610x134</t>
  </si>
  <si>
    <t>S24x121</t>
  </si>
  <si>
    <t>S610x119</t>
  </si>
  <si>
    <t>S24x106</t>
  </si>
  <si>
    <t>S510x143</t>
  </si>
  <si>
    <t>S24x100</t>
  </si>
  <si>
    <t>S510x128</t>
  </si>
  <si>
    <t>S24x90</t>
  </si>
  <si>
    <t>S510x112</t>
  </si>
  <si>
    <t>S24x80</t>
  </si>
  <si>
    <t>S510x98.2</t>
  </si>
  <si>
    <t>S20x96</t>
  </si>
  <si>
    <t>S460x104</t>
  </si>
  <si>
    <t>S20x86</t>
  </si>
  <si>
    <t>S460x81.4</t>
  </si>
  <si>
    <t>S20x75</t>
  </si>
  <si>
    <t>S380x74</t>
  </si>
  <si>
    <t>S20x66</t>
  </si>
  <si>
    <t>S380x64</t>
  </si>
  <si>
    <t>S18x70</t>
  </si>
  <si>
    <t>S310x74</t>
  </si>
  <si>
    <t>S18x54.7</t>
  </si>
  <si>
    <t>S310x60.7</t>
  </si>
  <si>
    <t>S15x50</t>
  </si>
  <si>
    <t>S310x52</t>
  </si>
  <si>
    <t>S15x42.9</t>
  </si>
  <si>
    <t>S310x47</t>
  </si>
  <si>
    <t>S12x50</t>
  </si>
  <si>
    <t>S250x52</t>
  </si>
  <si>
    <t>S12x40.8</t>
  </si>
  <si>
    <t>S250x38</t>
  </si>
  <si>
    <t>S12x35</t>
  </si>
  <si>
    <t>S200x34</t>
  </si>
  <si>
    <t>S12x31.8</t>
  </si>
  <si>
    <t>S200x27</t>
  </si>
  <si>
    <t>S10x35</t>
  </si>
  <si>
    <t>S150x26</t>
  </si>
  <si>
    <t>S10x25.4</t>
  </si>
  <si>
    <t>S150x19</t>
  </si>
  <si>
    <t>S8x23</t>
  </si>
  <si>
    <t>S130x15</t>
  </si>
  <si>
    <t>S8x18.4</t>
  </si>
  <si>
    <t>S100x14.1</t>
  </si>
  <si>
    <t>S6x17.25</t>
  </si>
  <si>
    <t>S100x11</t>
  </si>
  <si>
    <t>S6x12.5</t>
  </si>
  <si>
    <t>S75x11</t>
  </si>
  <si>
    <t>S5x10</t>
  </si>
  <si>
    <t>S75x8</t>
  </si>
  <si>
    <t>S4x9.5</t>
  </si>
  <si>
    <t>M310x17.6</t>
  </si>
  <si>
    <t>S4x7.7</t>
  </si>
  <si>
    <t>M310x16.1</t>
  </si>
  <si>
    <t>S3x7.5</t>
  </si>
  <si>
    <t>M310x14.9</t>
  </si>
  <si>
    <t>S3x5.7</t>
  </si>
  <si>
    <t>M250x13.4</t>
  </si>
  <si>
    <t>M12x11.8</t>
  </si>
  <si>
    <t>M250x11.9</t>
  </si>
  <si>
    <t>M12x10.8</t>
  </si>
  <si>
    <t>M250x11.2</t>
  </si>
  <si>
    <t>M12x10</t>
  </si>
  <si>
    <t>M200x9.7</t>
  </si>
  <si>
    <t>M10x9</t>
  </si>
  <si>
    <t>M200x9.2</t>
  </si>
  <si>
    <t>M10x8</t>
  </si>
  <si>
    <t>M150x6.6</t>
  </si>
  <si>
    <t>M10x7.5</t>
  </si>
  <si>
    <t>M150x5.5</t>
  </si>
  <si>
    <t>M8x6.5</t>
  </si>
  <si>
    <t>M130x28.1</t>
  </si>
  <si>
    <t>M8x6.2</t>
  </si>
  <si>
    <t>M100x8.9</t>
  </si>
  <si>
    <t>M6x4.4</t>
  </si>
  <si>
    <t>HP360x174</t>
  </si>
  <si>
    <t>M6x3.7</t>
  </si>
  <si>
    <t>HP360x152</t>
  </si>
  <si>
    <t>M5x18.9</t>
  </si>
  <si>
    <t>HP360x132</t>
  </si>
  <si>
    <t>M4x6</t>
  </si>
  <si>
    <t>HP360x108</t>
  </si>
  <si>
    <t>HP14x117</t>
  </si>
  <si>
    <t>HP310x125</t>
  </si>
  <si>
    <t>HP14x102</t>
  </si>
  <si>
    <t>HP310x110</t>
  </si>
  <si>
    <t>HP14x89</t>
  </si>
  <si>
    <t>HP310x94</t>
  </si>
  <si>
    <t>HP14x73</t>
  </si>
  <si>
    <t>HP310x79</t>
  </si>
  <si>
    <t>HP12x84</t>
  </si>
  <si>
    <t>HP250x85</t>
  </si>
  <si>
    <t>HP12x74</t>
  </si>
  <si>
    <t>HP250x62</t>
  </si>
  <si>
    <t>HP12x63</t>
  </si>
  <si>
    <t>HP200x54</t>
  </si>
  <si>
    <t>HP12x53</t>
  </si>
  <si>
    <t>WWF2000x732</t>
  </si>
  <si>
    <t>HP10x57</t>
  </si>
  <si>
    <t>WWF2000x648</t>
  </si>
  <si>
    <t>HP10x42</t>
  </si>
  <si>
    <t>WWF2000x607</t>
  </si>
  <si>
    <t>HP8x36</t>
  </si>
  <si>
    <t>WWF2000x542</t>
  </si>
  <si>
    <t>WWF79x490</t>
  </si>
  <si>
    <t>WWF1800x700</t>
  </si>
  <si>
    <t>WWF79x436</t>
  </si>
  <si>
    <t>WWF1800x659</t>
  </si>
  <si>
    <t>WWF79x408</t>
  </si>
  <si>
    <t>WWF1800x617</t>
  </si>
  <si>
    <t>WWF79x364</t>
  </si>
  <si>
    <t>WWF1800x575</t>
  </si>
  <si>
    <t>WWF71x470</t>
  </si>
  <si>
    <t>WWF1800x510</t>
  </si>
  <si>
    <t>WWF71x442</t>
  </si>
  <si>
    <t>WWF1600x622</t>
  </si>
  <si>
    <t>WWF71x415</t>
  </si>
  <si>
    <t>WWF1600x580</t>
  </si>
  <si>
    <t>WWF71x388</t>
  </si>
  <si>
    <t>WWF1600x538</t>
  </si>
  <si>
    <t>WWF71x344</t>
  </si>
  <si>
    <t>WWF1600x496</t>
  </si>
  <si>
    <t>WWF63x419</t>
  </si>
  <si>
    <t>WWF1600x431</t>
  </si>
  <si>
    <t>WWF63x388</t>
  </si>
  <si>
    <t>WWF1400x597</t>
  </si>
  <si>
    <t>WWF63x361</t>
  </si>
  <si>
    <t>WWF1400x513</t>
  </si>
  <si>
    <t>WWF63x333</t>
  </si>
  <si>
    <t>WWF1400x471</t>
  </si>
  <si>
    <t>WWF63x289</t>
  </si>
  <si>
    <t>WWF1400x405</t>
  </si>
  <si>
    <t>WWF55x402</t>
  </si>
  <si>
    <t>WWF1400x358</t>
  </si>
  <si>
    <t>WWF55x344</t>
  </si>
  <si>
    <t>WWF1200x487</t>
  </si>
  <si>
    <t>WWF55x316</t>
  </si>
  <si>
    <t>WWF1200x418</t>
  </si>
  <si>
    <t>WWF55x272</t>
  </si>
  <si>
    <t>WWF1200x380</t>
  </si>
  <si>
    <t>WWF55x240</t>
  </si>
  <si>
    <t>WWF1200x333</t>
  </si>
  <si>
    <t>WWF47x326</t>
  </si>
  <si>
    <t>WWF1200x302</t>
  </si>
  <si>
    <t>WWF47x281</t>
  </si>
  <si>
    <t>WWF1200x263</t>
  </si>
  <si>
    <t>WWF47x255</t>
  </si>
  <si>
    <t>WWF1100x458</t>
  </si>
  <si>
    <t>WWF47x224</t>
  </si>
  <si>
    <t>WWF1100x388</t>
  </si>
  <si>
    <t>WWF47x203</t>
  </si>
  <si>
    <t>WWF1100x351</t>
  </si>
  <si>
    <t>WWF47x176</t>
  </si>
  <si>
    <t>WWF1100x304</t>
  </si>
  <si>
    <t>WWF43x307</t>
  </si>
  <si>
    <t>WWF1100x273</t>
  </si>
  <si>
    <t>WWF43x260</t>
  </si>
  <si>
    <t>WWF1100x234</t>
  </si>
  <si>
    <t>WWF43x236</t>
  </si>
  <si>
    <t>WWF1000x447</t>
  </si>
  <si>
    <t>WWF43x204</t>
  </si>
  <si>
    <t>WWF1000x377</t>
  </si>
  <si>
    <t>WWF43x184</t>
  </si>
  <si>
    <t>WWF1000x340</t>
  </si>
  <si>
    <t>WWF43x157</t>
  </si>
  <si>
    <t>WWF1000x293</t>
  </si>
  <si>
    <t>WWF39x300</t>
  </si>
  <si>
    <t>WWF1000x262</t>
  </si>
  <si>
    <t>WWF39x253</t>
  </si>
  <si>
    <t>WWF1000x223</t>
  </si>
  <si>
    <t>WWF39x228</t>
  </si>
  <si>
    <t>WWF1000x200</t>
  </si>
  <si>
    <t>WWF39x197</t>
  </si>
  <si>
    <t>WWF900x417</t>
  </si>
  <si>
    <t>WWF39x176</t>
  </si>
  <si>
    <t>WWF900x347</t>
  </si>
  <si>
    <t>WWF39x150</t>
  </si>
  <si>
    <t>WWF900x309</t>
  </si>
  <si>
    <t>WWF39x134</t>
  </si>
  <si>
    <t>WWF900x262</t>
  </si>
  <si>
    <t>WWF35x279</t>
  </si>
  <si>
    <t>WWF900x231</t>
  </si>
  <si>
    <t>WWF35x233</t>
  </si>
  <si>
    <t>WWF900x192</t>
  </si>
  <si>
    <t>WWF35x208</t>
  </si>
  <si>
    <t>WWF900x169</t>
  </si>
  <si>
    <t>WWF35x176</t>
  </si>
  <si>
    <t>WWF800x339</t>
  </si>
  <si>
    <t>WWF35x156</t>
  </si>
  <si>
    <t>WWF800x300</t>
  </si>
  <si>
    <t>WWF35x128</t>
  </si>
  <si>
    <t>WWF800x253</t>
  </si>
  <si>
    <t>WWF35x113</t>
  </si>
  <si>
    <t>WWF800x223</t>
  </si>
  <si>
    <t>WWF31x228</t>
  </si>
  <si>
    <t>WWF800x184</t>
  </si>
  <si>
    <t>WWF31x202</t>
  </si>
  <si>
    <t>WWF800x161</t>
  </si>
  <si>
    <t>WWF31x170</t>
  </si>
  <si>
    <t>WWF700x245</t>
  </si>
  <si>
    <t>WWF31x150</t>
  </si>
  <si>
    <t>WWF700x214</t>
  </si>
  <si>
    <t>WWF31x123</t>
  </si>
  <si>
    <t>WWF700x196</t>
  </si>
  <si>
    <t>WWF31x108</t>
  </si>
  <si>
    <t>WWF700x175</t>
  </si>
  <si>
    <t>WWF28x164</t>
  </si>
  <si>
    <t>WWF700x152</t>
  </si>
  <si>
    <t>WWF28x144</t>
  </si>
  <si>
    <t>WWF650x864</t>
  </si>
  <si>
    <t>WWF28x132</t>
  </si>
  <si>
    <t>WWF650x739</t>
  </si>
  <si>
    <t>WWF28x117</t>
  </si>
  <si>
    <t>WWF650x598</t>
  </si>
  <si>
    <t>WWF28x102</t>
  </si>
  <si>
    <t>WWF650x499</t>
  </si>
  <si>
    <t>WWF26x580</t>
  </si>
  <si>
    <t>WWF650x400</t>
  </si>
  <si>
    <t>WWF26x497</t>
  </si>
  <si>
    <t>WWF600x793</t>
  </si>
  <si>
    <t>WWF26x402</t>
  </si>
  <si>
    <t>WWF600x680</t>
  </si>
  <si>
    <t>WWF26x336</t>
  </si>
  <si>
    <t>WWF600x551</t>
  </si>
  <si>
    <t>WWF26x269</t>
  </si>
  <si>
    <t>WWF600x460</t>
  </si>
  <si>
    <t>WWF24x531</t>
  </si>
  <si>
    <t>WWF600x369</t>
  </si>
  <si>
    <t>WWF24x456</t>
  </si>
  <si>
    <t>WWF550x721</t>
  </si>
  <si>
    <t>WWF24x371</t>
  </si>
  <si>
    <t>WWF550x620</t>
  </si>
  <si>
    <t>WWF24x309</t>
  </si>
  <si>
    <t>WWF550x503</t>
  </si>
  <si>
    <t>WWF24x248</t>
  </si>
  <si>
    <t>WWF550x420</t>
  </si>
  <si>
    <t>WWF22x484</t>
  </si>
  <si>
    <t>WWF550x280</t>
  </si>
  <si>
    <t>WWF22x416</t>
  </si>
  <si>
    <t>WWF500x651</t>
  </si>
  <si>
    <t>WWF22x338</t>
  </si>
  <si>
    <t>WWF500x561</t>
  </si>
  <si>
    <t>WWF22x282</t>
  </si>
  <si>
    <t>WWF500x456</t>
  </si>
  <si>
    <t>WWF22x188</t>
  </si>
  <si>
    <t>WWF500x381</t>
  </si>
  <si>
    <t>WWF20x437</t>
  </si>
  <si>
    <t>WWF500x343</t>
  </si>
  <si>
    <t>WWF20x377</t>
  </si>
  <si>
    <t>WWF500x306</t>
  </si>
  <si>
    <t>WWF20x306</t>
  </si>
  <si>
    <t>WWF500x276</t>
  </si>
  <si>
    <t>WWF20x256</t>
  </si>
  <si>
    <t>WWF500x254</t>
  </si>
  <si>
    <t>WWF20x230</t>
  </si>
  <si>
    <t>WWF500x223</t>
  </si>
  <si>
    <t>WWF20x205</t>
  </si>
  <si>
    <t>WWF500x197</t>
  </si>
  <si>
    <t>WWF20x185</t>
  </si>
  <si>
    <t>WWF450x503</t>
  </si>
  <si>
    <t>WWF20x170</t>
  </si>
  <si>
    <t>WWF450x409</t>
  </si>
  <si>
    <t>WWF20x150</t>
  </si>
  <si>
    <t>WWF450x342</t>
  </si>
  <si>
    <t>WWF20x132</t>
  </si>
  <si>
    <t>WWF450x308</t>
  </si>
  <si>
    <t>WWF18x337</t>
  </si>
  <si>
    <t>WWF450x274</t>
  </si>
  <si>
    <t>WWF18x275</t>
  </si>
  <si>
    <t>WWF450x248</t>
  </si>
  <si>
    <t>WWF18x229</t>
  </si>
  <si>
    <t>WWF450x228</t>
  </si>
  <si>
    <t>WWF18x207</t>
  </si>
  <si>
    <t>WWF450x201</t>
  </si>
  <si>
    <t>WWF18x184</t>
  </si>
  <si>
    <t>WWF450x177</t>
  </si>
  <si>
    <t>WWF18x166</t>
  </si>
  <si>
    <t>WWF400x444</t>
  </si>
  <si>
    <t>WWF18x152</t>
  </si>
  <si>
    <t>WWF400x362</t>
  </si>
  <si>
    <t>WWF18x134</t>
  </si>
  <si>
    <t>WWF400x303</t>
  </si>
  <si>
    <t>WWF18x119</t>
  </si>
  <si>
    <t>WWF400x273</t>
  </si>
  <si>
    <t>WWF16x298</t>
  </si>
  <si>
    <t>WWF400x243</t>
  </si>
  <si>
    <t>WWF16x243</t>
  </si>
  <si>
    <t>WWF400x220</t>
  </si>
  <si>
    <t>WWF16x203</t>
  </si>
  <si>
    <t>WWF400x202</t>
  </si>
  <si>
    <t>WWF16x183</t>
  </si>
  <si>
    <t>WWF400x178</t>
  </si>
  <si>
    <t>WWF16x163</t>
  </si>
  <si>
    <t>WWF400x157</t>
  </si>
  <si>
    <t>WWF16x147</t>
  </si>
  <si>
    <t>WWF350x315</t>
  </si>
  <si>
    <t>WWF16x135</t>
  </si>
  <si>
    <t>WWF350x263</t>
  </si>
  <si>
    <t>WWF16x119</t>
  </si>
  <si>
    <t>WWF350x238</t>
  </si>
  <si>
    <t>WWF16x105</t>
  </si>
  <si>
    <t>WWF350x212</t>
  </si>
  <si>
    <t>WWF14x211</t>
  </si>
  <si>
    <t>WWF350x192</t>
  </si>
  <si>
    <t>WWF14x177</t>
  </si>
  <si>
    <t>WWF350x176</t>
  </si>
  <si>
    <t>WWF14x159</t>
  </si>
  <si>
    <t>WWF350x155</t>
  </si>
  <si>
    <t>WWF14x142</t>
  </si>
  <si>
    <t>WWF350x137</t>
  </si>
  <si>
    <t>WWF14x128</t>
  </si>
  <si>
    <t>WWF14x118</t>
  </si>
  <si>
    <t>WWF14x104</t>
  </si>
  <si>
    <t>WWF14x92</t>
  </si>
  <si>
    <t>British Columbia</t>
  </si>
  <si>
    <t>100 Mile House</t>
  </si>
  <si>
    <t>Abbotsford</t>
  </si>
  <si>
    <t>Agassiz</t>
  </si>
  <si>
    <t>Alberni</t>
  </si>
  <si>
    <t>Ashcroft</t>
  </si>
  <si>
    <t>Bamfield</t>
  </si>
  <si>
    <t>Beatton River</t>
  </si>
  <si>
    <t>Bella Bella</t>
  </si>
  <si>
    <t>Bella Coola</t>
  </si>
  <si>
    <t>Burns Lake</t>
  </si>
  <si>
    <t>Cache Creek</t>
  </si>
  <si>
    <t>Campbell River</t>
  </si>
  <si>
    <t>Carmi</t>
  </si>
  <si>
    <t>Castlegar</t>
  </si>
  <si>
    <t>Chetwynd</t>
  </si>
  <si>
    <t>Chilliwack</t>
  </si>
  <si>
    <t>Comox</t>
  </si>
  <si>
    <t>Courtenay</t>
  </si>
  <si>
    <t>Cranbrook</t>
  </si>
  <si>
    <t>Crescent Valley</t>
  </si>
  <si>
    <t>Crofton</t>
  </si>
  <si>
    <t>Dawson Creek</t>
  </si>
  <si>
    <t>Dease Lake</t>
  </si>
  <si>
    <t>io Dog Creek</t>
  </si>
  <si>
    <t>Duncan</t>
  </si>
  <si>
    <t>Elko</t>
  </si>
  <si>
    <t>Fernie</t>
  </si>
  <si>
    <t>Fort Nelson</t>
  </si>
  <si>
    <t>Fort St. John</t>
  </si>
  <si>
    <t>Glacier</t>
  </si>
  <si>
    <t>Golden</t>
  </si>
  <si>
    <t>Gold River</t>
  </si>
  <si>
    <t>Grand Forks</t>
  </si>
  <si>
    <t>Greenwood</t>
  </si>
  <si>
    <t>Hope</t>
  </si>
  <si>
    <t>Jordan River</t>
  </si>
  <si>
    <t>Kamloops</t>
  </si>
  <si>
    <t>Kaslo</t>
  </si>
  <si>
    <t>Kelowna</t>
  </si>
  <si>
    <t>Kimberley</t>
  </si>
  <si>
    <t>Kitimat Plant</t>
  </si>
  <si>
    <t>Kitimat Townsite</t>
  </si>
  <si>
    <t>Ladysmith</t>
  </si>
  <si>
    <t>Langford</t>
  </si>
  <si>
    <t>ld Lillooet</t>
  </si>
  <si>
    <t>Lytton</t>
  </si>
  <si>
    <t>Mackenzie</t>
  </si>
  <si>
    <t>Masset</t>
  </si>
  <si>
    <t>McBride</t>
  </si>
  <si>
    <t>da McLeod Lake</t>
  </si>
  <si>
    <t>Merritt</t>
  </si>
  <si>
    <t>Mission City</t>
  </si>
  <si>
    <t>Montrose</t>
  </si>
  <si>
    <t>Nakusp</t>
  </si>
  <si>
    <t>Nanaimo</t>
  </si>
  <si>
    <t>Nelson</t>
  </si>
  <si>
    <t>Ocean Falls</t>
  </si>
  <si>
    <t>Osoyoos</t>
  </si>
  <si>
    <t>Parksville</t>
  </si>
  <si>
    <t>lu Penticton</t>
  </si>
  <si>
    <t>Port Alberni</t>
  </si>
  <si>
    <t>Port Alice</t>
  </si>
  <si>
    <t>Port Hardy</t>
  </si>
  <si>
    <t>Port McNeill</t>
  </si>
  <si>
    <t>Port Renfrew</t>
  </si>
  <si>
    <t>Powell River</t>
  </si>
  <si>
    <t>Prince George</t>
  </si>
  <si>
    <t>Prince Rupert</t>
  </si>
  <si>
    <t>Princeton</t>
  </si>
  <si>
    <t>Qualicum Beach</t>
  </si>
  <si>
    <t>Queen Charlotte City</t>
  </si>
  <si>
    <t>Quesnel</t>
  </si>
  <si>
    <t>Revelstoke</t>
  </si>
  <si>
    <t>Salmon Arm</t>
  </si>
  <si>
    <t>Sandspit</t>
  </si>
  <si>
    <t>Sechelt</t>
  </si>
  <si>
    <t>Sidney</t>
  </si>
  <si>
    <t>Smithers</t>
  </si>
  <si>
    <t>Smith River</t>
  </si>
  <si>
    <t>Sooke</t>
  </si>
  <si>
    <t>Squamish</t>
  </si>
  <si>
    <t>Stewart</t>
  </si>
  <si>
    <t>Tahsis</t>
  </si>
  <si>
    <t>Taylor</t>
  </si>
  <si>
    <t>Terrace</t>
  </si>
  <si>
    <t>Tofino</t>
  </si>
  <si>
    <t>Trail</t>
  </si>
  <si>
    <t>Ucluelet</t>
  </si>
  <si>
    <t>Burnaby (Simon</t>
  </si>
  <si>
    <t>Cloverdale</t>
  </si>
  <si>
    <t>Haney</t>
  </si>
  <si>
    <t>Ladner</t>
  </si>
  <si>
    <t>Langley</t>
  </si>
  <si>
    <t>New Westminster</t>
  </si>
  <si>
    <t>North Vancouver</t>
  </si>
  <si>
    <t>Richmond</t>
  </si>
  <si>
    <t>io Surrey(88Ave&amp;156</t>
  </si>
  <si>
    <t>Vancouver</t>
  </si>
  <si>
    <t>West Vancouver</t>
  </si>
  <si>
    <t>Vernon</t>
  </si>
  <si>
    <t>Victoria</t>
  </si>
  <si>
    <t>Whistler</t>
  </si>
  <si>
    <t>White Rock</t>
  </si>
  <si>
    <t>Williams Lake</t>
  </si>
  <si>
    <t>Youbou</t>
  </si>
  <si>
    <t>Athabasca</t>
  </si>
  <si>
    <t>Banff</t>
  </si>
  <si>
    <t>Barrhead</t>
  </si>
  <si>
    <t>Beaverlodge</t>
  </si>
  <si>
    <t>Brooks</t>
  </si>
  <si>
    <t>Campsie</t>
  </si>
  <si>
    <t>Camrose</t>
  </si>
  <si>
    <t>Canmore</t>
  </si>
  <si>
    <t>Cardston</t>
  </si>
  <si>
    <t>Claresholm</t>
  </si>
  <si>
    <t>Cold Lake</t>
  </si>
  <si>
    <t>Coleman</t>
  </si>
  <si>
    <t>Coronation</t>
  </si>
  <si>
    <t>Cowley</t>
  </si>
  <si>
    <t>Drumheller</t>
  </si>
  <si>
    <t>Edmonton</t>
  </si>
  <si>
    <t>iv Edson</t>
  </si>
  <si>
    <t>Embarras Portage</t>
  </si>
  <si>
    <t>Fairview</t>
  </si>
  <si>
    <t>Fort McMurray</t>
  </si>
  <si>
    <t>Fort Saskatchewan</t>
  </si>
  <si>
    <t>Fort Vermilion</t>
  </si>
  <si>
    <t>Grande Prairie</t>
  </si>
  <si>
    <t>Habay</t>
  </si>
  <si>
    <t>Hardisty</t>
  </si>
  <si>
    <t>High River</t>
  </si>
  <si>
    <t>Hinton</t>
  </si>
  <si>
    <t>Jasper</t>
  </si>
  <si>
    <t>Keg River</t>
  </si>
  <si>
    <t>Lac La Biche</t>
  </si>
  <si>
    <t>Lacombe</t>
  </si>
  <si>
    <t>Lethbridge</t>
  </si>
  <si>
    <t>Manning</t>
  </si>
  <si>
    <t>Medicine Hat</t>
  </si>
  <si>
    <t>Peace River</t>
  </si>
  <si>
    <t>Pincher Creek</t>
  </si>
  <si>
    <t>Ranfurly</t>
  </si>
  <si>
    <t>ld Red Deer</t>
  </si>
  <si>
    <t>Rocky Mountain House</t>
  </si>
  <si>
    <t>Slave Lake</t>
  </si>
  <si>
    <t>Stettler</t>
  </si>
  <si>
    <t>Stony Plain</t>
  </si>
  <si>
    <t>da Suffield</t>
  </si>
  <si>
    <t>Taber</t>
  </si>
  <si>
    <t>Turner Valley</t>
  </si>
  <si>
    <t>Valleyview</t>
  </si>
  <si>
    <t>Vegreville</t>
  </si>
  <si>
    <t>Vermilion</t>
  </si>
  <si>
    <t>Wagner</t>
  </si>
  <si>
    <t>Wainwright</t>
  </si>
  <si>
    <t>Wetaskiwin</t>
  </si>
  <si>
    <t>Whitecourt</t>
  </si>
  <si>
    <t>Wimborne</t>
  </si>
  <si>
    <t>Saskatchewan</t>
  </si>
  <si>
    <t>Assiniboia</t>
  </si>
  <si>
    <t>Battrum</t>
  </si>
  <si>
    <t>Biggar</t>
  </si>
  <si>
    <t>Broadview</t>
  </si>
  <si>
    <t>Dafoe</t>
  </si>
  <si>
    <t>Dundurn</t>
  </si>
  <si>
    <t>Estevan</t>
  </si>
  <si>
    <t>Hudson Bay</t>
  </si>
  <si>
    <t>Humboldt</t>
  </si>
  <si>
    <t>Island Falls</t>
  </si>
  <si>
    <t>Kamsack</t>
  </si>
  <si>
    <t>Kindersley</t>
  </si>
  <si>
    <t>Lloydminster</t>
  </si>
  <si>
    <t>Maple Creek</t>
  </si>
  <si>
    <t>Meadow Lake</t>
  </si>
  <si>
    <t>Melfort</t>
  </si>
  <si>
    <t>Melville</t>
  </si>
  <si>
    <t>Moose Jaw</t>
  </si>
  <si>
    <t>Nipawin</t>
  </si>
  <si>
    <t>North Battleford</t>
  </si>
  <si>
    <t>Prince Albert</t>
  </si>
  <si>
    <t>Qu'Appelle</t>
  </si>
  <si>
    <t>Regina</t>
  </si>
  <si>
    <t>Rosetown</t>
  </si>
  <si>
    <t>Saskatoon</t>
  </si>
  <si>
    <t>Scott</t>
  </si>
  <si>
    <t>Strasbourg</t>
  </si>
  <si>
    <t>Swift Current</t>
  </si>
  <si>
    <t>Uranium City</t>
  </si>
  <si>
    <t>Weyburn</t>
  </si>
  <si>
    <t>Yorkton</t>
  </si>
  <si>
    <t>Manitoba</t>
  </si>
  <si>
    <t>Beausejour</t>
  </si>
  <si>
    <t>Boissevain</t>
  </si>
  <si>
    <t>Brandon</t>
  </si>
  <si>
    <t>Churchill</t>
  </si>
  <si>
    <t>Dauphin</t>
  </si>
  <si>
    <t>Flin Flon</t>
  </si>
  <si>
    <t>Gimli</t>
  </si>
  <si>
    <t>ld Island Lake</t>
  </si>
  <si>
    <t>Lac du Bonnet</t>
  </si>
  <si>
    <t>Lynn Lake</t>
  </si>
  <si>
    <t>Morden</t>
  </si>
  <si>
    <t>Neepawa</t>
  </si>
  <si>
    <t>da Pine Falls</t>
  </si>
  <si>
    <t>Portage la Prairie</t>
  </si>
  <si>
    <t>Rivers</t>
  </si>
  <si>
    <t>Sandilands</t>
  </si>
  <si>
    <t>Selkirk</t>
  </si>
  <si>
    <t>Split Lake</t>
  </si>
  <si>
    <t>Steinbach</t>
  </si>
  <si>
    <t>Swan River</t>
  </si>
  <si>
    <t>The Pas</t>
  </si>
  <si>
    <t>Thompson</t>
  </si>
  <si>
    <t>Virden</t>
  </si>
  <si>
    <t>Winnipeg</t>
  </si>
  <si>
    <t>Ontario</t>
  </si>
  <si>
    <t>Ailsa Craig</t>
  </si>
  <si>
    <t>Ajax</t>
  </si>
  <si>
    <t>Alexandria</t>
  </si>
  <si>
    <t>Alliston</t>
  </si>
  <si>
    <t>Almonte</t>
  </si>
  <si>
    <t>Armstrong</t>
  </si>
  <si>
    <t>Arnprior</t>
  </si>
  <si>
    <t>Atikokan</t>
  </si>
  <si>
    <t>Attawapiskat</t>
  </si>
  <si>
    <t>Aurora</t>
  </si>
  <si>
    <t>Bancroft</t>
  </si>
  <si>
    <t>Barrie</t>
  </si>
  <si>
    <t>Barriefield</t>
  </si>
  <si>
    <t>Beaverton</t>
  </si>
  <si>
    <t>Belleville</t>
  </si>
  <si>
    <t>Belmont</t>
  </si>
  <si>
    <t>Borden (CFB)</t>
  </si>
  <si>
    <t>Bracebridge</t>
  </si>
  <si>
    <t>Bradford</t>
  </si>
  <si>
    <t>Brampton</t>
  </si>
  <si>
    <t>Brantford</t>
  </si>
  <si>
    <t>Brighton</t>
  </si>
  <si>
    <t>Brockville</t>
  </si>
  <si>
    <t>Burk's Falls</t>
  </si>
  <si>
    <t>Burlington</t>
  </si>
  <si>
    <t>Cambridge</t>
  </si>
  <si>
    <t>Campbellford</t>
  </si>
  <si>
    <t>Cannington</t>
  </si>
  <si>
    <t>Carleton Place</t>
  </si>
  <si>
    <t>Cavan</t>
  </si>
  <si>
    <t>Centralia</t>
  </si>
  <si>
    <t>Chapleau</t>
  </si>
  <si>
    <t>Chatham</t>
  </si>
  <si>
    <t>Chesley</t>
  </si>
  <si>
    <t>Clinton</t>
  </si>
  <si>
    <t>Coboconk</t>
  </si>
  <si>
    <t>Cobourg</t>
  </si>
  <si>
    <t>Cochrane</t>
  </si>
  <si>
    <t>Colborne</t>
  </si>
  <si>
    <t>Collingwood</t>
  </si>
  <si>
    <t>Cornwall</t>
  </si>
  <si>
    <t>Corunna</t>
  </si>
  <si>
    <t>Deep River</t>
  </si>
  <si>
    <t>da Deseronto</t>
  </si>
  <si>
    <t>Dorchester</t>
  </si>
  <si>
    <t>Dorion</t>
  </si>
  <si>
    <t>Dresden</t>
  </si>
  <si>
    <t>Dryden</t>
  </si>
  <si>
    <t>Dundalk</t>
  </si>
  <si>
    <t>Dunnville</t>
  </si>
  <si>
    <t>Durham</t>
  </si>
  <si>
    <t>Dutton</t>
  </si>
  <si>
    <t>Earlton</t>
  </si>
  <si>
    <t>Edison</t>
  </si>
  <si>
    <t>Elliot Lake</t>
  </si>
  <si>
    <t>Elmvale</t>
  </si>
  <si>
    <t>Embro</t>
  </si>
  <si>
    <t>Englehart</t>
  </si>
  <si>
    <t>Espanola</t>
  </si>
  <si>
    <t>Exeter</t>
  </si>
  <si>
    <t>Fenelon Falls</t>
  </si>
  <si>
    <t>Fergus</t>
  </si>
  <si>
    <t>Forest</t>
  </si>
  <si>
    <t>Fort Erie</t>
  </si>
  <si>
    <t>Fort Erie (Ridgeway)</t>
  </si>
  <si>
    <t>Fort Frances</t>
  </si>
  <si>
    <t>Gananoque</t>
  </si>
  <si>
    <t>Geraldton</t>
  </si>
  <si>
    <t>Glencoe</t>
  </si>
  <si>
    <t>Goderich</t>
  </si>
  <si>
    <t>Gore Bay</t>
  </si>
  <si>
    <t>Graham</t>
  </si>
  <si>
    <t>Gravenhurst</t>
  </si>
  <si>
    <t>Grimsby</t>
  </si>
  <si>
    <t>Guelph</t>
  </si>
  <si>
    <t>Guthrie</t>
  </si>
  <si>
    <t>Haileybury</t>
  </si>
  <si>
    <t>Haldimand</t>
  </si>
  <si>
    <t>Haliburton</t>
  </si>
  <si>
    <t>Halton Hills</t>
  </si>
  <si>
    <t>Hamilton</t>
  </si>
  <si>
    <t>Hanover</t>
  </si>
  <si>
    <t>Hastings</t>
  </si>
  <si>
    <t>Hawkesbury</t>
  </si>
  <si>
    <t>Hearst</t>
  </si>
  <si>
    <t>Honey</t>
  </si>
  <si>
    <t>Hornepayne</t>
  </si>
  <si>
    <t>Huntsville</t>
  </si>
  <si>
    <t>Ingersoll</t>
  </si>
  <si>
    <t>Iroquois Falls</t>
  </si>
  <si>
    <t>Jellicoe</t>
  </si>
  <si>
    <t>Kapuskasing</t>
  </si>
  <si>
    <t>Kemptville</t>
  </si>
  <si>
    <t>Kenora</t>
  </si>
  <si>
    <t>Killaloe</t>
  </si>
  <si>
    <t>Kincardine</t>
  </si>
  <si>
    <t>Kingston</t>
  </si>
  <si>
    <t>Kinmount</t>
  </si>
  <si>
    <t>Kirkland Lake</t>
  </si>
  <si>
    <t>Kitchener</t>
  </si>
  <si>
    <t>n</t>
  </si>
  <si>
    <t>Lakefield</t>
  </si>
  <si>
    <t>Lansdowne House</t>
  </si>
  <si>
    <t>Leamington</t>
  </si>
  <si>
    <t>Lindsay</t>
  </si>
  <si>
    <t>Lion's Head</t>
  </si>
  <si>
    <t>Listowel</t>
  </si>
  <si>
    <t>London</t>
  </si>
  <si>
    <t>Lucan</t>
  </si>
  <si>
    <t>Maitland</t>
  </si>
  <si>
    <t>Markdale</t>
  </si>
  <si>
    <t>Markham</t>
  </si>
  <si>
    <t>Martin</t>
  </si>
  <si>
    <t>Matheson</t>
  </si>
  <si>
    <t>Mattawa</t>
  </si>
  <si>
    <t>Midland</t>
  </si>
  <si>
    <t>Milton</t>
  </si>
  <si>
    <t>Milverton</t>
  </si>
  <si>
    <t>Minden</t>
  </si>
  <si>
    <t>Mississauga</t>
  </si>
  <si>
    <t>Mississauga (Lester B.</t>
  </si>
  <si>
    <t>Mitchell</t>
  </si>
  <si>
    <t>Moosonee</t>
  </si>
  <si>
    <t>Morrisburg</t>
  </si>
  <si>
    <t>Mount Forest</t>
  </si>
  <si>
    <t>Nakina</t>
  </si>
  <si>
    <t>Nanticoke</t>
  </si>
  <si>
    <t>Nanticoke (Port Dover)</t>
  </si>
  <si>
    <t>Napanee</t>
  </si>
  <si>
    <t>Newcastle</t>
  </si>
  <si>
    <t>New Liskeard</t>
  </si>
  <si>
    <t>Newmarket</t>
  </si>
  <si>
    <t>Niagara Falls</t>
  </si>
  <si>
    <t>North Bay</t>
  </si>
  <si>
    <t>Norwood</t>
  </si>
  <si>
    <t>Oakville</t>
  </si>
  <si>
    <t>Orangeville</t>
  </si>
  <si>
    <t>Orillia</t>
  </si>
  <si>
    <t>Oshawa</t>
  </si>
  <si>
    <t>Ottawa (Barrhaven)</t>
  </si>
  <si>
    <t>Ottawa (City Hall)</t>
  </si>
  <si>
    <t>Ottawa (Kanata)</t>
  </si>
  <si>
    <t>Ottawa (M-C Int'l</t>
  </si>
  <si>
    <t>da Ottawa (Orléans)</t>
  </si>
  <si>
    <t>Owen Sound</t>
  </si>
  <si>
    <t>Pagwa River</t>
  </si>
  <si>
    <t>Paris</t>
  </si>
  <si>
    <t>Parkhill</t>
  </si>
  <si>
    <t>Parry Sound</t>
  </si>
  <si>
    <t>Pelham (Fonthill)</t>
  </si>
  <si>
    <t>Pembroke</t>
  </si>
  <si>
    <t>Penetanguishene</t>
  </si>
  <si>
    <t>Perth</t>
  </si>
  <si>
    <t>Petawawa</t>
  </si>
  <si>
    <t>Peterborough</t>
  </si>
  <si>
    <t>Petrolia</t>
  </si>
  <si>
    <t>Pickering</t>
  </si>
  <si>
    <t>Picton</t>
  </si>
  <si>
    <t>Plattsville</t>
  </si>
  <si>
    <t>Point Alexander</t>
  </si>
  <si>
    <t>Port Burwell</t>
  </si>
  <si>
    <t>Port Colborne</t>
  </si>
  <si>
    <t>Port Elgin</t>
  </si>
  <si>
    <t>Port Hope</t>
  </si>
  <si>
    <t>Port Perry</t>
  </si>
  <si>
    <t>Port Stanley</t>
  </si>
  <si>
    <t>Prescott</t>
  </si>
  <si>
    <t>Raith</t>
  </si>
  <si>
    <t>Rayside-Balfour</t>
  </si>
  <si>
    <t>Red Lake</t>
  </si>
  <si>
    <t>Renfrew</t>
  </si>
  <si>
    <t>Richmond Hill</t>
  </si>
  <si>
    <t>Rockland</t>
  </si>
  <si>
    <t>Sarnia</t>
  </si>
  <si>
    <t>Sault Ste. Marie</t>
  </si>
  <si>
    <t>Schreiber</t>
  </si>
  <si>
    <t>Seaforth</t>
  </si>
  <si>
    <t>Shelburne</t>
  </si>
  <si>
    <t>Simcoe</t>
  </si>
  <si>
    <t>Sioux Lookout</t>
  </si>
  <si>
    <t>Smiths Falls</t>
  </si>
  <si>
    <t>Smithville</t>
  </si>
  <si>
    <t>Smooth Rock Falls</t>
  </si>
  <si>
    <t>Southampton</t>
  </si>
  <si>
    <t>South River</t>
  </si>
  <si>
    <t>St. Catharines</t>
  </si>
  <si>
    <t>St. Marys</t>
  </si>
  <si>
    <t>St. Thomas</t>
  </si>
  <si>
    <t>Stirling</t>
  </si>
  <si>
    <t>Stratford</t>
  </si>
  <si>
    <t>Strathroy</t>
  </si>
  <si>
    <t>Sturgeon Falls</t>
  </si>
  <si>
    <t>Sudbury</t>
  </si>
  <si>
    <t>Sundridge</t>
  </si>
  <si>
    <t>Tavistock</t>
  </si>
  <si>
    <t>Temagami</t>
  </si>
  <si>
    <t>Thamesford</t>
  </si>
  <si>
    <t>Thedford</t>
  </si>
  <si>
    <t>Vo Thunder Bay</t>
  </si>
  <si>
    <t>Tillsonburg</t>
  </si>
  <si>
    <t>Timmins</t>
  </si>
  <si>
    <t>Timmins (Porcupine)</t>
  </si>
  <si>
    <t>Etobicoke</t>
  </si>
  <si>
    <t>North York</t>
  </si>
  <si>
    <t>Scarborough</t>
  </si>
  <si>
    <t>Toronto (City Hall)</t>
  </si>
  <si>
    <t>Trenton</t>
  </si>
  <si>
    <t>Trout Creek</t>
  </si>
  <si>
    <t>Uxbridge</t>
  </si>
  <si>
    <t>Vaughan</t>
  </si>
  <si>
    <t>Vittoria</t>
  </si>
  <si>
    <t>Walkerton</t>
  </si>
  <si>
    <t>Wallaceburg</t>
  </si>
  <si>
    <t>Waterloo</t>
  </si>
  <si>
    <t>Watford</t>
  </si>
  <si>
    <t>Wawa</t>
  </si>
  <si>
    <t>Welland</t>
  </si>
  <si>
    <t>West Lorne</t>
  </si>
  <si>
    <t>Whitby</t>
  </si>
  <si>
    <t>Whitby (Brooklin)</t>
  </si>
  <si>
    <t>White River</t>
  </si>
  <si>
    <t>Wiarton</t>
  </si>
  <si>
    <t>Windsor</t>
  </si>
  <si>
    <t>Wingham</t>
  </si>
  <si>
    <t>Woodstock</t>
  </si>
  <si>
    <t>Wyoming</t>
  </si>
  <si>
    <t>Quebec</t>
  </si>
  <si>
    <t>Acton Vale</t>
  </si>
  <si>
    <t>Alma</t>
  </si>
  <si>
    <t>Amos</t>
  </si>
  <si>
    <t>Asbestos</t>
  </si>
  <si>
    <t>Aylmer</t>
  </si>
  <si>
    <t>Baie-Comeau</t>
  </si>
  <si>
    <t>Baie-Saint-Paul</t>
  </si>
  <si>
    <t>Beauport</t>
  </si>
  <si>
    <t>Bedford</t>
  </si>
  <si>
    <t>Beloeil</t>
  </si>
  <si>
    <t>Brome</t>
  </si>
  <si>
    <t>Brossard</t>
  </si>
  <si>
    <t>Buckingham</t>
  </si>
  <si>
    <t>Campbell's Bay</t>
  </si>
  <si>
    <t>Chambly</t>
  </si>
  <si>
    <t>Coaticook</t>
  </si>
  <si>
    <t>ld Contrecoeur</t>
  </si>
  <si>
    <t>Cowansville</t>
  </si>
  <si>
    <t>Deux-Montagnes</t>
  </si>
  <si>
    <t>Dolbeau</t>
  </si>
  <si>
    <t>Drummondville</t>
  </si>
  <si>
    <t>da Farnham</t>
  </si>
  <si>
    <t>Fort-Coulonge</t>
  </si>
  <si>
    <t>Gagnon</t>
  </si>
  <si>
    <t>Gaspé</t>
  </si>
  <si>
    <t>Gatineau</t>
  </si>
  <si>
    <t>Gracefield</t>
  </si>
  <si>
    <t>Granby</t>
  </si>
  <si>
    <t>Harrington Harbour</t>
  </si>
  <si>
    <t>Havre-Saint-Pierre</t>
  </si>
  <si>
    <t>Hemmingford</t>
  </si>
  <si>
    <t>Hull</t>
  </si>
  <si>
    <t>Iberville</t>
  </si>
  <si>
    <t>Inukjuak</t>
  </si>
  <si>
    <t>Joliette</t>
  </si>
  <si>
    <t>Kuujjuaq</t>
  </si>
  <si>
    <t>Kuujjuarapik</t>
  </si>
  <si>
    <t>Lachute</t>
  </si>
  <si>
    <t>Lac-Mégantic</t>
  </si>
  <si>
    <t>La Malbaie</t>
  </si>
  <si>
    <t>La Pocatière</t>
  </si>
  <si>
    <t>La Tuque</t>
  </si>
  <si>
    <t>Lennoxville</t>
  </si>
  <si>
    <t>Léry</t>
  </si>
  <si>
    <t>Loretteville</t>
  </si>
  <si>
    <t>Louiseville</t>
  </si>
  <si>
    <t>Magog</t>
  </si>
  <si>
    <t>Malartic</t>
  </si>
  <si>
    <t>Maniwaki</t>
  </si>
  <si>
    <t>Masson</t>
  </si>
  <si>
    <t>Matane</t>
  </si>
  <si>
    <t>Mont-Joli</t>
  </si>
  <si>
    <t>Mont-Laurier</t>
  </si>
  <si>
    <t>Montmagny</t>
  </si>
  <si>
    <t>Beaconsfield</t>
  </si>
  <si>
    <t>Dorval</t>
  </si>
  <si>
    <t>Laval</t>
  </si>
  <si>
    <t>Montréal (City Hall)</t>
  </si>
  <si>
    <t>Montréal-Est</t>
  </si>
  <si>
    <t>Montréal-Nord</t>
  </si>
  <si>
    <t>Outremont</t>
  </si>
  <si>
    <t>Pierrefonds</t>
  </si>
  <si>
    <t>Sainte-Anne-de-</t>
  </si>
  <si>
    <t>Saint-Lambert</t>
  </si>
  <si>
    <t>Saint-Laurent</t>
  </si>
  <si>
    <t>Verdun</t>
  </si>
  <si>
    <t>Nicolet (Gentilly)</t>
  </si>
  <si>
    <t>Nitchequon</t>
  </si>
  <si>
    <t>Noranda</t>
  </si>
  <si>
    <t>Percé</t>
  </si>
  <si>
    <t>Pincourt</t>
  </si>
  <si>
    <t>Plessisville</t>
  </si>
  <si>
    <t>Port-Cartier</t>
  </si>
  <si>
    <t>Puvirnituq</t>
  </si>
  <si>
    <t>Ancienne-Lorette</t>
  </si>
  <si>
    <t>Lévis</t>
  </si>
  <si>
    <t>Québec</t>
  </si>
  <si>
    <t>lu Sainte-Foy</t>
  </si>
  <si>
    <t>Sillery</t>
  </si>
  <si>
    <t>Rimouski</t>
  </si>
  <si>
    <t>Rivière-du-Loup</t>
  </si>
  <si>
    <t>Roberval</t>
  </si>
  <si>
    <t>Rock Island</t>
  </si>
  <si>
    <t>Rosemère</t>
  </si>
  <si>
    <t>Rouyn</t>
  </si>
  <si>
    <t>Saguenay</t>
  </si>
  <si>
    <t>Saguenay (Bagotville)</t>
  </si>
  <si>
    <t>Saguenay (Jonquière)</t>
  </si>
  <si>
    <t>Saguenay (Kénogami)</t>
  </si>
  <si>
    <t>Sainte-Agathe-</t>
  </si>
  <si>
    <t>Saint-Eustache</t>
  </si>
  <si>
    <t>Saint-Félicien</t>
  </si>
  <si>
    <t>Saint-Georges-de-</t>
  </si>
  <si>
    <t>Saint-Hubert</t>
  </si>
  <si>
    <t>Saint-Hubert-de-</t>
  </si>
  <si>
    <t>Saint-Hyacinthe</t>
  </si>
  <si>
    <t>Saint-Jean-sur-</t>
  </si>
  <si>
    <t>Saint-Jérôme</t>
  </si>
  <si>
    <t>Saint-Jovite</t>
  </si>
  <si>
    <t>Saint-Lazare / Hudson</t>
  </si>
  <si>
    <t>Saint-Nicolas</t>
  </si>
  <si>
    <t>Salaberry-de-</t>
  </si>
  <si>
    <t>Schefferville</t>
  </si>
  <si>
    <t>Senneterre</t>
  </si>
  <si>
    <t>Shawinigan</t>
  </si>
  <si>
    <t>Shawville</t>
  </si>
  <si>
    <t>Sherbrooke</t>
  </si>
  <si>
    <t>Sorel</t>
  </si>
  <si>
    <t>Sutton</t>
  </si>
  <si>
    <t>Tadoussac</t>
  </si>
  <si>
    <t>Témiscaming</t>
  </si>
  <si>
    <t>Terrebonne</t>
  </si>
  <si>
    <t>Thetford Mines</t>
  </si>
  <si>
    <t>Thurso</t>
  </si>
  <si>
    <t>Trois-Rivières</t>
  </si>
  <si>
    <t>Val-d'Or</t>
  </si>
  <si>
    <t>Varennes</t>
  </si>
  <si>
    <t>Verchères</t>
  </si>
  <si>
    <t>Victoriaville</t>
  </si>
  <si>
    <t>Ville-Marie</t>
  </si>
  <si>
    <t>Wakefield</t>
  </si>
  <si>
    <t>Bathurst</t>
  </si>
  <si>
    <t>Vo Boiestown</t>
  </si>
  <si>
    <t>Campbellton</t>
  </si>
  <si>
    <t>Edmundston</t>
  </si>
  <si>
    <t>Fredericton</t>
  </si>
  <si>
    <t>Gagetown</t>
  </si>
  <si>
    <t>Grand Falls</t>
  </si>
  <si>
    <t>Miramichi</t>
  </si>
  <si>
    <t>Moncton</t>
  </si>
  <si>
    <t>Oromocto</t>
  </si>
  <si>
    <t>Sackville</t>
  </si>
  <si>
    <t>Saint Andrews</t>
  </si>
  <si>
    <t>Saint John</t>
  </si>
  <si>
    <t>Shippagan</t>
  </si>
  <si>
    <t>St. George</t>
  </si>
  <si>
    <t>St. Stephen</t>
  </si>
  <si>
    <t>Nova Scotia</t>
  </si>
  <si>
    <t>Amherst</t>
  </si>
  <si>
    <t>Antigonish</t>
  </si>
  <si>
    <t>Bridgewater</t>
  </si>
  <si>
    <t>Canso</t>
  </si>
  <si>
    <t>Debert</t>
  </si>
  <si>
    <t>Digby</t>
  </si>
  <si>
    <t>Greenwood (CFB)</t>
  </si>
  <si>
    <t>iv Dartmouth</t>
  </si>
  <si>
    <t>Halifax</t>
  </si>
  <si>
    <t>Kentville</t>
  </si>
  <si>
    <t>Liverpool</t>
  </si>
  <si>
    <t>Lockeport</t>
  </si>
  <si>
    <t>Louisbourg</t>
  </si>
  <si>
    <t>Lunenburg</t>
  </si>
  <si>
    <t>New Glasgow</t>
  </si>
  <si>
    <t>North Sydney</t>
  </si>
  <si>
    <t>Pictou</t>
  </si>
  <si>
    <t>Port Hawkesbury</t>
  </si>
  <si>
    <t>Springhill</t>
  </si>
  <si>
    <t>Stewiacke</t>
  </si>
  <si>
    <t>Sydney</t>
  </si>
  <si>
    <t>Tatamagouche</t>
  </si>
  <si>
    <t>Truro</t>
  </si>
  <si>
    <t>Wolfville</t>
  </si>
  <si>
    <t>Yarmouth</t>
  </si>
  <si>
    <t>Prince Edward Island</t>
  </si>
  <si>
    <t>Charlottetown</t>
  </si>
  <si>
    <t>Souris</t>
  </si>
  <si>
    <t>Summerside</t>
  </si>
  <si>
    <t>Tignish</t>
  </si>
  <si>
    <t>Argentia</t>
  </si>
  <si>
    <t>Bonavista</t>
  </si>
  <si>
    <t>Buchans</t>
  </si>
  <si>
    <t>Cape Harrison</t>
  </si>
  <si>
    <t>Cape Race</t>
  </si>
  <si>
    <t>lu Channel-Port</t>
  </si>
  <si>
    <t>Corner Brook</t>
  </si>
  <si>
    <t>Gander</t>
  </si>
  <si>
    <t>Grand Bank</t>
  </si>
  <si>
    <t>Happy Valley-Goose</t>
  </si>
  <si>
    <t>Labrador City</t>
  </si>
  <si>
    <t>St. Anthony</t>
  </si>
  <si>
    <t>Stephenville</t>
  </si>
  <si>
    <t>St. John's</t>
  </si>
  <si>
    <t>Twin Falls</t>
  </si>
  <si>
    <t>Wabana</t>
  </si>
  <si>
    <t>Wabush</t>
  </si>
  <si>
    <t>Yukon</t>
  </si>
  <si>
    <t>Aishihik</t>
  </si>
  <si>
    <t>Dawson</t>
  </si>
  <si>
    <t>Destruction Bay</t>
  </si>
  <si>
    <t>Faro</t>
  </si>
  <si>
    <t>Haines Junction</t>
  </si>
  <si>
    <t>Snag</t>
  </si>
  <si>
    <t>Teslin</t>
  </si>
  <si>
    <t>Watson Lake</t>
  </si>
  <si>
    <t>Whitehorse</t>
  </si>
  <si>
    <t>Northwest Territories</t>
  </si>
  <si>
    <t>Aklavik</t>
  </si>
  <si>
    <t>Behchok / Rae-Edzo</t>
  </si>
  <si>
    <t>Echo Bay /</t>
  </si>
  <si>
    <t>Fort Good Hope</t>
  </si>
  <si>
    <t>Fort McPherson</t>
  </si>
  <si>
    <t>Fort Providence</t>
  </si>
  <si>
    <t>Fort Resolution</t>
  </si>
  <si>
    <t>Fort Simpson</t>
  </si>
  <si>
    <t>Fort Smith</t>
  </si>
  <si>
    <t>Hay River</t>
  </si>
  <si>
    <t>Mould Bay</t>
  </si>
  <si>
    <t>Norman Wells</t>
  </si>
  <si>
    <t>Tungsten</t>
  </si>
  <si>
    <t>Ulukhaktok / Holman</t>
  </si>
  <si>
    <t>Wrigley</t>
  </si>
  <si>
    <t>Yellowknife</t>
  </si>
  <si>
    <t>Nunavut</t>
  </si>
  <si>
    <t>Alert</t>
  </si>
  <si>
    <t>Arctic Bay</t>
  </si>
  <si>
    <t>Arviat</t>
  </si>
  <si>
    <t>ld Baker Lake</t>
  </si>
  <si>
    <t>Eureka</t>
  </si>
  <si>
    <t>Igluligaarjuk /</t>
  </si>
  <si>
    <t>Iqaluit</t>
  </si>
  <si>
    <t>Iqaluktuuttiaq /</t>
  </si>
  <si>
    <t>Isachsen</t>
  </si>
  <si>
    <t>Kangiqiniq/RankinInlet</t>
  </si>
  <si>
    <t>Kanngiqtugaapik /</t>
  </si>
  <si>
    <t>Kugluktuk / Coppermine</t>
  </si>
  <si>
    <t>Nottingham Island</t>
  </si>
  <si>
    <t>Resolute</t>
  </si>
  <si>
    <t>Resolution Island</t>
  </si>
  <si>
    <t>Salliq / Coral Harbour</t>
  </si>
  <si>
    <t>Inputs</t>
  </si>
  <si>
    <t>City/Town</t>
  </si>
  <si>
    <t>q (1/10), kPa</t>
  </si>
  <si>
    <t>q (1/50), kPa</t>
  </si>
  <si>
    <t>Ss (kPa) from Table C-2</t>
  </si>
  <si>
    <t>Sr (kPa) from Table C-2</t>
  </si>
  <si>
    <t>Snow factors (editable)</t>
  </si>
  <si>
    <t>Is (importance)</t>
  </si>
  <si>
    <t>Cb (basic roof)</t>
  </si>
  <si>
    <t>Cw (wind exposure)</t>
  </si>
  <si>
    <t>Cs (slope)</t>
  </si>
  <si>
    <t>Ca (accumulation)</t>
  </si>
  <si>
    <t>Roof snow S = Is*(Cb*Cw*Cs*Ca*Ss + Sr)</t>
  </si>
  <si>
    <t>15-min rainfall (mm)</t>
  </si>
  <si>
    <t>Intensity (mm/hr) = mm / 0.25 hr</t>
  </si>
  <si>
    <t>Wind line-load on member</t>
  </si>
  <si>
    <t>Select MRI (q): use B5 (1/50) or B4 (1/10)</t>
  </si>
  <si>
    <t>Cp</t>
  </si>
  <si>
    <t>k (shape factor)</t>
  </si>
  <si>
    <t>h (projected depth, m)</t>
  </si>
  <si>
    <t>p = Iw*q*Ce*Cg*Cp</t>
  </si>
  <si>
    <t>Line load (kN/m) = p*k*h</t>
  </si>
  <si>
    <t>British Columbia|100 Mile House</t>
  </si>
  <si>
    <t>British Columbia|Abbotsford</t>
  </si>
  <si>
    <t>British Columbia|Agassiz</t>
  </si>
  <si>
    <t>British Columbia|Alberni</t>
  </si>
  <si>
    <t>British Columbia|Ashcroft</t>
  </si>
  <si>
    <t>British Columbia|Bamfield</t>
  </si>
  <si>
    <t>British Columbia|Beatton River</t>
  </si>
  <si>
    <t>British Columbia|Bella Bella</t>
  </si>
  <si>
    <t>British Columbia|Bella Coola</t>
  </si>
  <si>
    <t>British Columbia|Burns Lake</t>
  </si>
  <si>
    <t>British Columbia|Cache Creek</t>
  </si>
  <si>
    <t>British Columbia|Campbell River</t>
  </si>
  <si>
    <t>British Columbia|Carmi</t>
  </si>
  <si>
    <t>British Columbia|Castlegar</t>
  </si>
  <si>
    <t>British Columbia|Chetwynd</t>
  </si>
  <si>
    <t>iv Aklavik</t>
  </si>
  <si>
    <t>British Columbia|Chilliwack</t>
  </si>
  <si>
    <t>on Behchokǫ̀ / Rae-Edzo</t>
  </si>
  <si>
    <t>British Columbia|Comox</t>
  </si>
  <si>
    <t>British Columbia|Courtenay</t>
  </si>
  <si>
    <t>British Columbia|Cranbrook</t>
  </si>
  <si>
    <t>British Columbia|Crescent Valley</t>
  </si>
  <si>
    <t>British Columbia|Crofton</t>
  </si>
  <si>
    <t>British Columbia|Dawson Creek</t>
  </si>
  <si>
    <t>Pine Falls</t>
  </si>
  <si>
    <t>British Columbia|Dease Lake</t>
  </si>
  <si>
    <t>Island Lake</t>
  </si>
  <si>
    <t>British Columbia|io Dog Creek</t>
  </si>
  <si>
    <t>British Columbia|Duncan</t>
  </si>
  <si>
    <t>British Columbia|Elko</t>
  </si>
  <si>
    <t>Alberta|Fernie</t>
  </si>
  <si>
    <t>Alberta|Fort Nelson</t>
  </si>
  <si>
    <t>Alberta|Fort St. John</t>
  </si>
  <si>
    <t>Alberta|Glacier</t>
  </si>
  <si>
    <t>Alberta|Golden</t>
  </si>
  <si>
    <t>Alberta|Gold River</t>
  </si>
  <si>
    <t>Alberta|Grand Forks</t>
  </si>
  <si>
    <t>Alberta|Greenwood</t>
  </si>
  <si>
    <t>Alberta|Hope</t>
  </si>
  <si>
    <t>Alberta|Jordan River</t>
  </si>
  <si>
    <t>Alberta|Kamloops</t>
  </si>
  <si>
    <t>Alberta|Kaslo</t>
  </si>
  <si>
    <t>Alberta|Kelowna</t>
  </si>
  <si>
    <t>Alberta|Kimberley</t>
  </si>
  <si>
    <t>Alberta|Kitimat Plant</t>
  </si>
  <si>
    <t>Alberta|Kitimat Townsite</t>
  </si>
  <si>
    <t>Alberta|Ladysmith</t>
  </si>
  <si>
    <t>Alberta|Langford</t>
  </si>
  <si>
    <t>Alberta|ld Lillooet</t>
  </si>
  <si>
    <t>Alberta|Lytton</t>
  </si>
  <si>
    <t>Alberta|Mackenzie</t>
  </si>
  <si>
    <t>Alberta|Masset</t>
  </si>
  <si>
    <t>Alberta|McBride</t>
  </si>
  <si>
    <t>Alberta|da McLeod Lake</t>
  </si>
  <si>
    <t>Alberta|Merritt</t>
  </si>
  <si>
    <t>Alberta|Mission City</t>
  </si>
  <si>
    <t>Alberta|Montrose</t>
  </si>
  <si>
    <t>Alberta|Nakusp</t>
  </si>
  <si>
    <t>Alberta|Nanaimo</t>
  </si>
  <si>
    <t>Alberta|Nelson</t>
  </si>
  <si>
    <t>Alberta|Ocean Falls</t>
  </si>
  <si>
    <t>Alberta|Osoyoos</t>
  </si>
  <si>
    <t>Alberta|Parksville</t>
  </si>
  <si>
    <t>Alberta|lu Penticton</t>
  </si>
  <si>
    <t>Alberta|Port Alberni</t>
  </si>
  <si>
    <t>Alberta|Port Alice</t>
  </si>
  <si>
    <t>Alberta|Port Hardy</t>
  </si>
  <si>
    <t>Alberta|Port McNeill</t>
  </si>
  <si>
    <t>Alberta|Port Renfrew</t>
  </si>
  <si>
    <t>Alberta|Powell River</t>
  </si>
  <si>
    <t>Alberta|Prince George</t>
  </si>
  <si>
    <t>Alberta|Prince Rupert</t>
  </si>
  <si>
    <t>Alberta|Princeton</t>
  </si>
  <si>
    <t>Alberta|Qualicum Beach</t>
  </si>
  <si>
    <t>Alberta|Queen Charlotte City</t>
  </si>
  <si>
    <t>Alberta|Quesnel</t>
  </si>
  <si>
    <t>Alberta|Revelstoke</t>
  </si>
  <si>
    <t>Alberta|Salmon Arm</t>
  </si>
  <si>
    <t>Alberta|Sandspit</t>
  </si>
  <si>
    <t>Alberta|Sechelt</t>
  </si>
  <si>
    <t>Alberta|Sidney</t>
  </si>
  <si>
    <t>Alberta|Smithers</t>
  </si>
  <si>
    <t>Alberta|Smith River</t>
  </si>
  <si>
    <t>Alberta|Sooke</t>
  </si>
  <si>
    <t>Alberta|Squamish</t>
  </si>
  <si>
    <t>Alberta|Stewart</t>
  </si>
  <si>
    <t>Alberta|Tahsis</t>
  </si>
  <si>
    <t>Alberta|Taylor</t>
  </si>
  <si>
    <t>Alberta|Terrace</t>
  </si>
  <si>
    <t>Alberta|Tofino</t>
  </si>
  <si>
    <t>Alberta|Trail</t>
  </si>
  <si>
    <t>Alberta|Ucluelet</t>
  </si>
  <si>
    <t>Alberta|Burnaby (Simon</t>
  </si>
  <si>
    <t>Alberta|Cloverdale</t>
  </si>
  <si>
    <t>Alberta|Haney</t>
  </si>
  <si>
    <t>Alberta|Ladner</t>
  </si>
  <si>
    <t>Alberta|Langley</t>
  </si>
  <si>
    <t>Alberta|New Westminster</t>
  </si>
  <si>
    <t>Alberta|North Vancouver</t>
  </si>
  <si>
    <t>Alberta|Richmond</t>
  </si>
  <si>
    <t>Alberta|io Surrey(88Ave&amp;156</t>
  </si>
  <si>
    <t>Alberta|Vancouver</t>
  </si>
  <si>
    <t>Alberta|West Vancouver</t>
  </si>
  <si>
    <t>Alberta|Vernon</t>
  </si>
  <si>
    <t>Alberta|Victoria</t>
  </si>
  <si>
    <t>Alberta|Whistler</t>
  </si>
  <si>
    <t>Alberta|White Rock</t>
  </si>
  <si>
    <t>Alberta|Williams Lake</t>
  </si>
  <si>
    <t>Alberta|Youbou</t>
  </si>
  <si>
    <t>Alberta|Athabasca</t>
  </si>
  <si>
    <t>Alberta|Banff</t>
  </si>
  <si>
    <t>Alberta|Barrhead</t>
  </si>
  <si>
    <t>Alberta|Beaverlodge</t>
  </si>
  <si>
    <t>Alberta|Brooks</t>
  </si>
  <si>
    <t>Alberta|Calgary</t>
  </si>
  <si>
    <t>Alberta|Campsie</t>
  </si>
  <si>
    <t>Alberta|Camrose</t>
  </si>
  <si>
    <t>Alberta|Canmore</t>
  </si>
  <si>
    <t>Alberta|Cardston</t>
  </si>
  <si>
    <t>Alberta|Claresholm</t>
  </si>
  <si>
    <t>Alberta|Cold Lake</t>
  </si>
  <si>
    <t>Alberta|Coleman</t>
  </si>
  <si>
    <t>Alberta|Coronation</t>
  </si>
  <si>
    <t>Alberta|Cowley</t>
  </si>
  <si>
    <t>Alberta|Drumheller</t>
  </si>
  <si>
    <t>Alberta|Edmonton</t>
  </si>
  <si>
    <t>Alberta|iv Edson</t>
  </si>
  <si>
    <t>Alberta|Embarras Portage</t>
  </si>
  <si>
    <t>Alberta|Fairview</t>
  </si>
  <si>
    <t>Alberta|Fort MacLeod</t>
  </si>
  <si>
    <t>Alberta|Fort McMurray</t>
  </si>
  <si>
    <t>Alberta|Fort Saskatchewan</t>
  </si>
  <si>
    <t>Alberta|Fort Vermilion</t>
  </si>
  <si>
    <t>Alberta|Grande Prairie</t>
  </si>
  <si>
    <t>Alberta|Habay</t>
  </si>
  <si>
    <t>Alberta|Hardisty</t>
  </si>
  <si>
    <t>Alberta|High River</t>
  </si>
  <si>
    <t>Alberta|Hinton</t>
  </si>
  <si>
    <t>Alberta|Jasper</t>
  </si>
  <si>
    <t>il Pincourt</t>
  </si>
  <si>
    <t>Alberta|Keg River</t>
  </si>
  <si>
    <t>Alberta|Lac La Biche</t>
  </si>
  <si>
    <t>Alberta|Lacombe</t>
  </si>
  <si>
    <t>Alberta|Lethbridge</t>
  </si>
  <si>
    <t>Alberta|Manning</t>
  </si>
  <si>
    <t>Alberta|Medicine Hat</t>
  </si>
  <si>
    <t>Alberta|Peace River</t>
  </si>
  <si>
    <t>Alberta|Pincher Creek</t>
  </si>
  <si>
    <t>Alberta|Ranfurly</t>
  </si>
  <si>
    <t>Alberta|ld Red Deer</t>
  </si>
  <si>
    <t>Alberta|Rocky Mountain House</t>
  </si>
  <si>
    <t>Alberta|Slave Lake</t>
  </si>
  <si>
    <t>Alberta|Stettler</t>
  </si>
  <si>
    <t>Alberta|Stony Plain</t>
  </si>
  <si>
    <t>Alberta|da Suffield</t>
  </si>
  <si>
    <t>Alberta|Taber</t>
  </si>
  <si>
    <t>Alberta|Turner Valley</t>
  </si>
  <si>
    <t>Alberta|Valleyview</t>
  </si>
  <si>
    <t>Alberta|Vegreville</t>
  </si>
  <si>
    <t>Alberta|Vermilion</t>
  </si>
  <si>
    <t>Alberta|Wagner</t>
  </si>
  <si>
    <t>Alberta|Wainwright</t>
  </si>
  <si>
    <t>Alberta|Wetaskiwin</t>
  </si>
  <si>
    <t>Alberta|Whitecourt</t>
  </si>
  <si>
    <t>Alberta|Wimborne</t>
  </si>
  <si>
    <t>Saskatchewan|Assiniboia</t>
  </si>
  <si>
    <t>Saskatchewan|Battrum</t>
  </si>
  <si>
    <t>Saskatchewan|Biggar</t>
  </si>
  <si>
    <t>Saskatchewan|Broadview</t>
  </si>
  <si>
    <t>Saskatchewan|Dafoe</t>
  </si>
  <si>
    <t>Saskatchewan|Dundurn</t>
  </si>
  <si>
    <t>Saskatchewan|Estevan</t>
  </si>
  <si>
    <t>Saskatchewan|Hudson Bay</t>
  </si>
  <si>
    <t>Saskatchewan|Humboldt</t>
  </si>
  <si>
    <t>Saskatchewan|Island Falls</t>
  </si>
  <si>
    <t>Saskatchewan|Kamsack</t>
  </si>
  <si>
    <t>Saskatchewan|Kindersley</t>
  </si>
  <si>
    <t>Saskatchewan|Lloydminster</t>
  </si>
  <si>
    <t>Saskatchewan|Maple Creek</t>
  </si>
  <si>
    <t>Saskatchewan|Meadow Lake</t>
  </si>
  <si>
    <t>Saskatchewan|Melfort</t>
  </si>
  <si>
    <t>Saskatchewan|Melville</t>
  </si>
  <si>
    <t>Saskatchewan|Moose Jaw</t>
  </si>
  <si>
    <t>Saskatchewan|Nipawin</t>
  </si>
  <si>
    <t>Saskatchewan|North Battleford</t>
  </si>
  <si>
    <t>Saskatchewan|Prince Albert</t>
  </si>
  <si>
    <t>Saskatchewan|Qu'Appelle</t>
  </si>
  <si>
    <t>Saskatchewan|Regina</t>
  </si>
  <si>
    <t>Saskatchewan|Rosetown</t>
  </si>
  <si>
    <t>Saskatchewan|Saskatoon</t>
  </si>
  <si>
    <t>Saskatchewan|Scott</t>
  </si>
  <si>
    <t>Saskatchewan|Strasbourg</t>
  </si>
  <si>
    <t>Saskatchewan|Swift Current</t>
  </si>
  <si>
    <t>Saskatchewan|Uranium City</t>
  </si>
  <si>
    <t>Saskatchewan|Weyburn</t>
  </si>
  <si>
    <t>Saskatchewan|Yorkton</t>
  </si>
  <si>
    <t>Manitoba|Beausejour</t>
  </si>
  <si>
    <t>Manitoba|Boissevain</t>
  </si>
  <si>
    <t>Manitoba|Brandon</t>
  </si>
  <si>
    <t>Manitoba|Churchill</t>
  </si>
  <si>
    <t>Manitoba|Dauphin</t>
  </si>
  <si>
    <t>Manitoba|Flin Flon</t>
  </si>
  <si>
    <t>Manitoba|Gimli</t>
  </si>
  <si>
    <t>Manitoba|ld Island Lake</t>
  </si>
  <si>
    <t>Manitoba|Lac du Bonnet</t>
  </si>
  <si>
    <t>Manitoba|Lynn Lake</t>
  </si>
  <si>
    <t>Manitoba|Morden</t>
  </si>
  <si>
    <t>Manitoba|Neepawa</t>
  </si>
  <si>
    <t>Manitoba|da Pine Falls</t>
  </si>
  <si>
    <t>Manitoba|Portage la Prairie</t>
  </si>
  <si>
    <t>Manitoba|Rivers</t>
  </si>
  <si>
    <t>Manitoba|Sandilands</t>
  </si>
  <si>
    <t>Manitoba|Selkirk</t>
  </si>
  <si>
    <t>Manitoba|Split Lake</t>
  </si>
  <si>
    <t>Manitoba|Steinbach</t>
  </si>
  <si>
    <t>Manitoba|Swan River</t>
  </si>
  <si>
    <t>Manitoba|The Pas</t>
  </si>
  <si>
    <t>Manitoba|Thompson</t>
  </si>
  <si>
    <t>Manitoba|Virden</t>
  </si>
  <si>
    <t>Manitoba|Winnipeg</t>
  </si>
  <si>
    <t>Ontario|Ailsa Craig</t>
  </si>
  <si>
    <t>Ontario|Ajax</t>
  </si>
  <si>
    <t>Ontario|Alexandria</t>
  </si>
  <si>
    <t>Ontario|Alliston</t>
  </si>
  <si>
    <t>Ontario|Almonte</t>
  </si>
  <si>
    <t>Ontario|Armstrong</t>
  </si>
  <si>
    <t>ld Colborne</t>
  </si>
  <si>
    <t>Ontario|Arnprior</t>
  </si>
  <si>
    <t>Ontario|Atikokan</t>
  </si>
  <si>
    <t>vi Borden (CFB)</t>
  </si>
  <si>
    <t>Ontario|Attawapiskat</t>
  </si>
  <si>
    <t>Ontario|Aurora</t>
  </si>
  <si>
    <t>Ontario|Bancroft</t>
  </si>
  <si>
    <t>Ontario|Barrie</t>
  </si>
  <si>
    <t>Ontario|Barriefield</t>
  </si>
  <si>
    <t>Ontario|Beaverton</t>
  </si>
  <si>
    <t>Ontario|Belleville</t>
  </si>
  <si>
    <t>Ontario|Belmont</t>
  </si>
  <si>
    <t>Ontario|vi Borden (CFB)</t>
  </si>
  <si>
    <t>Ontario|Bracebridge</t>
  </si>
  <si>
    <t>Ontario|Bradford</t>
  </si>
  <si>
    <t>Ontario|Brampton</t>
  </si>
  <si>
    <t>Ontario|Brantford</t>
  </si>
  <si>
    <t>Ontario|Brighton</t>
  </si>
  <si>
    <t>Ontario|Brockville</t>
  </si>
  <si>
    <t>Ontario|Burk's Falls</t>
  </si>
  <si>
    <t>Ontario|Burlington</t>
  </si>
  <si>
    <t>Ontario|Cambridge</t>
  </si>
  <si>
    <t>Ontario|Campbellford</t>
  </si>
  <si>
    <t>Ontario|Cannington</t>
  </si>
  <si>
    <t>Ontario|Carleton Place</t>
  </si>
  <si>
    <t>Ontario|Cavan</t>
  </si>
  <si>
    <t>Ontario|Centralia</t>
  </si>
  <si>
    <t>Ontario|Chapleau</t>
  </si>
  <si>
    <t>Ontario|Chatham</t>
  </si>
  <si>
    <t>Ontario|Chesley</t>
  </si>
  <si>
    <t>Ontario|Clinton</t>
  </si>
  <si>
    <t>Ontario|Coboconk</t>
  </si>
  <si>
    <t>Ontario|Cobourg</t>
  </si>
  <si>
    <t>Ontario|Cochrane</t>
  </si>
  <si>
    <t>Ontario|ld Colborne</t>
  </si>
  <si>
    <t>Ontario|Collingwood</t>
  </si>
  <si>
    <t>Ontario|Cornwall</t>
  </si>
  <si>
    <t>Ontario|Corunna</t>
  </si>
  <si>
    <t>Ontario|Deep River</t>
  </si>
  <si>
    <t>Ontario|da Deseronto</t>
  </si>
  <si>
    <t>Ontario|Dorchester</t>
  </si>
  <si>
    <t>Ontario|Dorion</t>
  </si>
  <si>
    <t>Ontario|Dresden</t>
  </si>
  <si>
    <t>Ontario|Dryden</t>
  </si>
  <si>
    <t>Ontario|Dundalk</t>
  </si>
  <si>
    <t>Ontario|Dunnville</t>
  </si>
  <si>
    <t>Ontario|Durham</t>
  </si>
  <si>
    <t>Ontario|Dutton</t>
  </si>
  <si>
    <t>Ontario|Earlton</t>
  </si>
  <si>
    <t>Ontario|Edison</t>
  </si>
  <si>
    <t>Ontario|Elliot Lake</t>
  </si>
  <si>
    <t>Ontario|Elmvale</t>
  </si>
  <si>
    <t>Ontario|Embro</t>
  </si>
  <si>
    <t>Ontario|Englehart</t>
  </si>
  <si>
    <t>Ontario|Espanola</t>
  </si>
  <si>
    <t>Ontario|Exeter</t>
  </si>
  <si>
    <t>Ontario|Fenelon Falls</t>
  </si>
  <si>
    <t>Ontario|Fergus</t>
  </si>
  <si>
    <t>Ontario|Forest</t>
  </si>
  <si>
    <t>Ontario|Fort Erie</t>
  </si>
  <si>
    <t>Ontario|Fort Erie (Ridgeway)</t>
  </si>
  <si>
    <t>Ontario|Fort Frances</t>
  </si>
  <si>
    <t>Ontario|Gananoque</t>
  </si>
  <si>
    <t>Ontario|Geraldton</t>
  </si>
  <si>
    <t>Ontario|Glencoe</t>
  </si>
  <si>
    <t>Ontario|Goderich</t>
  </si>
  <si>
    <t>Ontario|Gore Bay</t>
  </si>
  <si>
    <t>Ontario|Graham</t>
  </si>
  <si>
    <t>Ontario|Gravenhurst</t>
  </si>
  <si>
    <t>Ontario|Grimsby</t>
  </si>
  <si>
    <t>Ontario|Guelph</t>
  </si>
  <si>
    <t>Ontario|Guthrie</t>
  </si>
  <si>
    <t>Ontario|Haileybury</t>
  </si>
  <si>
    <t>Ontario|Haldimand</t>
  </si>
  <si>
    <t>Ontario|Haliburton</t>
  </si>
  <si>
    <t>Ontario|Halton Hills</t>
  </si>
  <si>
    <t>Ontario|Hamilton</t>
  </si>
  <si>
    <t>Ontario|Hanover</t>
  </si>
  <si>
    <t>Ontario|Hastings</t>
  </si>
  <si>
    <t>Ontario|Hawkesbury</t>
  </si>
  <si>
    <t>Ontario|Hearst</t>
  </si>
  <si>
    <t>Ontario|Honey</t>
  </si>
  <si>
    <t>Ontario|Hornepayne</t>
  </si>
  <si>
    <t>Ontario|Huntsville</t>
  </si>
  <si>
    <t>Ontario|Ingersoll</t>
  </si>
  <si>
    <t>Ontario|Iroquois Falls</t>
  </si>
  <si>
    <t>Ontario|Jellicoe</t>
  </si>
  <si>
    <t>Ontario|Kapuskasing</t>
  </si>
  <si>
    <t>Ontario|Kemptville</t>
  </si>
  <si>
    <t>Ontario|Kenora</t>
  </si>
  <si>
    <t>Ontario|Killaloe</t>
  </si>
  <si>
    <t>Ontario|Kincardine</t>
  </si>
  <si>
    <t>Ontario|Kingston</t>
  </si>
  <si>
    <t>Ontario|Kinmount</t>
  </si>
  <si>
    <t>Ontario|Kirkland Lake</t>
  </si>
  <si>
    <t>Ontario|Kitchener</t>
  </si>
  <si>
    <t>Ontario|n</t>
  </si>
  <si>
    <t>Ontario|Lakefield</t>
  </si>
  <si>
    <t>Ontario|Lansdowne House</t>
  </si>
  <si>
    <t>Ontario|Leamington</t>
  </si>
  <si>
    <t>Ontario|Lindsay</t>
  </si>
  <si>
    <t>Ontario|Lion's Head</t>
  </si>
  <si>
    <t>Ontario|Listowel</t>
  </si>
  <si>
    <t>Ontario|London</t>
  </si>
  <si>
    <t>Ontario|Lucan</t>
  </si>
  <si>
    <t>Ontario|Maitland</t>
  </si>
  <si>
    <t>Ontario|Markdale</t>
  </si>
  <si>
    <t>Ontario|Markham</t>
  </si>
  <si>
    <t>Ontario|Martin</t>
  </si>
  <si>
    <t>Ontario|Matheson</t>
  </si>
  <si>
    <t>Ontario|Mattawa</t>
  </si>
  <si>
    <t>Ontario|Midland</t>
  </si>
  <si>
    <t>Ontario|Milton</t>
  </si>
  <si>
    <t>Ontario|Milverton</t>
  </si>
  <si>
    <t>Ontario|Minden</t>
  </si>
  <si>
    <t>Ontario|Mississauga</t>
  </si>
  <si>
    <t>Ontario|Mississauga (Lester B.</t>
  </si>
  <si>
    <t>Ontario|Mitchell</t>
  </si>
  <si>
    <t>Ontario|Moosonee</t>
  </si>
  <si>
    <t>Ontario|Morrisburg</t>
  </si>
  <si>
    <t>Ontario|Mount Forest</t>
  </si>
  <si>
    <t>Ontario|Nakina</t>
  </si>
  <si>
    <t>Ontario|Nanticoke</t>
  </si>
  <si>
    <t>Ontario|Nanticoke (Port Dover)</t>
  </si>
  <si>
    <t>Ontario|Napanee</t>
  </si>
  <si>
    <t>Ontario|Newcastle</t>
  </si>
  <si>
    <t>Ontario|New Liskeard</t>
  </si>
  <si>
    <t>Ontario|Newmarket</t>
  </si>
  <si>
    <t>Ontario|Niagara Falls</t>
  </si>
  <si>
    <t>Ontario|North Bay</t>
  </si>
  <si>
    <t>Ontario|Norwood</t>
  </si>
  <si>
    <t>Ontario|Oakville</t>
  </si>
  <si>
    <t>Ontario|Orangeville</t>
  </si>
  <si>
    <t>Ontario|Orillia</t>
  </si>
  <si>
    <t>Ontario|Oshawa</t>
  </si>
  <si>
    <t>Ontario|Ottawa (Barrhaven)</t>
  </si>
  <si>
    <t>Ontario|Ottawa (City Hall)</t>
  </si>
  <si>
    <t>Ontario|Ottawa (Kanata)</t>
  </si>
  <si>
    <t>Ontario|Ottawa (M-C Int'l</t>
  </si>
  <si>
    <t>Ontario|da Ottawa (Orléans)</t>
  </si>
  <si>
    <t>Ontario|Owen Sound</t>
  </si>
  <si>
    <t>Ontario|Pagwa River</t>
  </si>
  <si>
    <t>Ontario|Paris</t>
  </si>
  <si>
    <t>Ontario|Parkhill</t>
  </si>
  <si>
    <t>Ontario|Parry Sound</t>
  </si>
  <si>
    <t>Ontario|Pelham (Fonthill)</t>
  </si>
  <si>
    <t>Ontario|Pembroke</t>
  </si>
  <si>
    <t>Ontario|Penetanguishene</t>
  </si>
  <si>
    <t>Ontario|Perth</t>
  </si>
  <si>
    <t>Ontario|Petawawa</t>
  </si>
  <si>
    <t>Ontario|Peterborough</t>
  </si>
  <si>
    <t>Ontario|Petrolia</t>
  </si>
  <si>
    <t>Ontario|Pickering</t>
  </si>
  <si>
    <t>Ontario|Picton</t>
  </si>
  <si>
    <t>Ontario|Plattsville</t>
  </si>
  <si>
    <t>Ontario|Point Alexander</t>
  </si>
  <si>
    <t>Ontario|Port Burwell</t>
  </si>
  <si>
    <t>Ontario|Port Colborne</t>
  </si>
  <si>
    <t>Ontario|Port Elgin</t>
  </si>
  <si>
    <t>Ontario|Port Hope</t>
  </si>
  <si>
    <t>Ontario|Port Perry</t>
  </si>
  <si>
    <t>Ontario|Port Stanley</t>
  </si>
  <si>
    <t>Ontario|Prescott</t>
  </si>
  <si>
    <t>Ontario|Princeton</t>
  </si>
  <si>
    <t>Ontario|Raith</t>
  </si>
  <si>
    <t>Ontario|Rayside-Balfour</t>
  </si>
  <si>
    <t>Ontario|Red Lake</t>
  </si>
  <si>
    <t>Ontario|Renfrew</t>
  </si>
  <si>
    <t>Ontario|Richmond Hill</t>
  </si>
  <si>
    <t>Ontario|Rockland</t>
  </si>
  <si>
    <t>Ontario|Sarnia</t>
  </si>
  <si>
    <t>Ontario|Sault Ste. Marie</t>
  </si>
  <si>
    <t>Ontario|Schreiber</t>
  </si>
  <si>
    <t>Ontario|Seaforth</t>
  </si>
  <si>
    <t>Ontario|Shelburne</t>
  </si>
  <si>
    <t>Ontario|Simcoe</t>
  </si>
  <si>
    <t>Ontario|Sioux Lookout</t>
  </si>
  <si>
    <t>Ontario|Smiths Falls</t>
  </si>
  <si>
    <t>Ontario|Smithville</t>
  </si>
  <si>
    <t>Ontario|Smooth Rock Falls</t>
  </si>
  <si>
    <t>Ontario|Southampton</t>
  </si>
  <si>
    <t>Ontario|South River</t>
  </si>
  <si>
    <t>Ontario|St. Catharines</t>
  </si>
  <si>
    <t>Ontario|St. Marys</t>
  </si>
  <si>
    <t>Ontario|St. Thomas</t>
  </si>
  <si>
    <t>Ontario|Stirling</t>
  </si>
  <si>
    <t>Ontario|Stratford</t>
  </si>
  <si>
    <t>Ontario|Strathroy</t>
  </si>
  <si>
    <t>Ontario|Sturgeon Falls</t>
  </si>
  <si>
    <t>Ontario|Sudbury</t>
  </si>
  <si>
    <t>Ontario|Sundridge</t>
  </si>
  <si>
    <t>Ontario|Tavistock</t>
  </si>
  <si>
    <t>Ontario|Temagami</t>
  </si>
  <si>
    <t>Ontario|Thamesford</t>
  </si>
  <si>
    <t>Ontario|Thedford</t>
  </si>
  <si>
    <t>Ontario|Vo Thunder Bay</t>
  </si>
  <si>
    <t>Ontario|Tillsonburg</t>
  </si>
  <si>
    <t>Ontario|Timmins</t>
  </si>
  <si>
    <t>Ontario|Timmins (Porcupine)</t>
  </si>
  <si>
    <t>Ontario|Etobicoke</t>
  </si>
  <si>
    <t>Ontario|North York</t>
  </si>
  <si>
    <t>Ontario|Scarborough</t>
  </si>
  <si>
    <t>Ontario|Toronto (City Hall)</t>
  </si>
  <si>
    <t>Ontario|Trenton</t>
  </si>
  <si>
    <t>Ontario|Trout Creek</t>
  </si>
  <si>
    <t>Ontario|Uxbridge</t>
  </si>
  <si>
    <t>Ontario|Vaughan</t>
  </si>
  <si>
    <t>Ontario|Vittoria</t>
  </si>
  <si>
    <t>Ontario|Walkerton</t>
  </si>
  <si>
    <t>Ontario|Wallaceburg</t>
  </si>
  <si>
    <t>Ontario|Waterloo</t>
  </si>
  <si>
    <t>Ontario|Watford</t>
  </si>
  <si>
    <t>Ontario|Wawa</t>
  </si>
  <si>
    <t>Ontario|Welland</t>
  </si>
  <si>
    <t>Ontario|West Lorne</t>
  </si>
  <si>
    <t>Ontario|Whitby</t>
  </si>
  <si>
    <t>Ontario|Whitby (Brooklin)</t>
  </si>
  <si>
    <t>Ontario|White River</t>
  </si>
  <si>
    <t>Ontario|Wiarton</t>
  </si>
  <si>
    <t>Ontario|Windsor</t>
  </si>
  <si>
    <t>Ontario|Wingham</t>
  </si>
  <si>
    <t>Ontario|Woodstock</t>
  </si>
  <si>
    <t>Ontario|Wyoming</t>
  </si>
  <si>
    <t>Quebec|Acton Vale</t>
  </si>
  <si>
    <t>Quebec|Alma</t>
  </si>
  <si>
    <t>Quebec|Amos</t>
  </si>
  <si>
    <t>Quebec|Asbestos</t>
  </si>
  <si>
    <t>Quebec|Aylmer</t>
  </si>
  <si>
    <t>Quebec|Baie-Comeau</t>
  </si>
  <si>
    <t>Quebec|Baie-Saint-Paul</t>
  </si>
  <si>
    <t>Quebec|Beauport</t>
  </si>
  <si>
    <t>Quebec|Bedford</t>
  </si>
  <si>
    <t>Quebec|Beloeil</t>
  </si>
  <si>
    <t>Quebec|Brome</t>
  </si>
  <si>
    <t>Quebec|Brossard</t>
  </si>
  <si>
    <t>Quebec|Buckingham</t>
  </si>
  <si>
    <t>Quebec|Campbell's Bay</t>
  </si>
  <si>
    <t>Quebec|Chambly</t>
  </si>
  <si>
    <t>Quebec|Coaticook</t>
  </si>
  <si>
    <t>Quebec|ld Contrecoeur</t>
  </si>
  <si>
    <t>Quebec|Cowansville</t>
  </si>
  <si>
    <t>Quebec|Deux-Montagnes</t>
  </si>
  <si>
    <t>Quebec|Dolbeau</t>
  </si>
  <si>
    <t>Quebec|Drummondville</t>
  </si>
  <si>
    <t>Quebec|da Farnham</t>
  </si>
  <si>
    <t>Quebec|Fort-Coulonge</t>
  </si>
  <si>
    <t>Quebec|Gagnon</t>
  </si>
  <si>
    <t>Quebec|Gaspé</t>
  </si>
  <si>
    <t>Quebec|Gatineau</t>
  </si>
  <si>
    <t>Quebec|Gracefield</t>
  </si>
  <si>
    <t>Quebec|Granby</t>
  </si>
  <si>
    <t>Quebec|Harrington Harbour</t>
  </si>
  <si>
    <t>Quebec|Havre-Saint-Pierre</t>
  </si>
  <si>
    <t>Quebec|Hemmingford</t>
  </si>
  <si>
    <t>Quebec|Hull</t>
  </si>
  <si>
    <t>Quebec|Iberville</t>
  </si>
  <si>
    <t>Quebec|Inukjuak</t>
  </si>
  <si>
    <t>Quebec|Joliette</t>
  </si>
  <si>
    <t>Quebec|Kuujjuaq</t>
  </si>
  <si>
    <t>Quebec|Kuujjuarapik</t>
  </si>
  <si>
    <t>Quebec|Lachute</t>
  </si>
  <si>
    <t>Quebec|Lac-Mégantic</t>
  </si>
  <si>
    <t>Quebec|La Malbaie</t>
  </si>
  <si>
    <t>Quebec|La Pocatière</t>
  </si>
  <si>
    <t>Quebec|La Tuque</t>
  </si>
  <si>
    <t>Quebec|Lennoxville</t>
  </si>
  <si>
    <t>Quebec|Léry</t>
  </si>
  <si>
    <t>Quebec|Loretteville</t>
  </si>
  <si>
    <t>Quebec|Louiseville</t>
  </si>
  <si>
    <t>Quebec|Magog</t>
  </si>
  <si>
    <t>Quebec|Malartic</t>
  </si>
  <si>
    <t>Quebec|Maniwaki</t>
  </si>
  <si>
    <t>Quebec|Masson</t>
  </si>
  <si>
    <t>Quebec|Matane</t>
  </si>
  <si>
    <t>Quebec|Mont-Joli</t>
  </si>
  <si>
    <t>Quebec|Mont-Laurier</t>
  </si>
  <si>
    <t>Quebec|Montmagny</t>
  </si>
  <si>
    <t>Quebec|Beaconsfield</t>
  </si>
  <si>
    <t>Quebec|Dorval</t>
  </si>
  <si>
    <t>Quebec|Laval</t>
  </si>
  <si>
    <t>Quebec|Montréal (City Hall)</t>
  </si>
  <si>
    <t>Quebec|Montréal-Est</t>
  </si>
  <si>
    <t>Quebec|Montréal-Nord</t>
  </si>
  <si>
    <t>Quebec|Outremont</t>
  </si>
  <si>
    <t>Quebec|Pierrefonds</t>
  </si>
  <si>
    <t>Quebec|Sainte-Anne-de-</t>
  </si>
  <si>
    <t>Quebec|Saint-Lambert</t>
  </si>
  <si>
    <t>Quebec|Saint-Laurent</t>
  </si>
  <si>
    <t>Quebec|Verdun</t>
  </si>
  <si>
    <t>Quebec|Nicolet (Gentilly)</t>
  </si>
  <si>
    <t>Quebec|Nitchequon</t>
  </si>
  <si>
    <t>Quebec|Noranda</t>
  </si>
  <si>
    <t>Quebec|Percé</t>
  </si>
  <si>
    <t>Quebec|il Pincourt</t>
  </si>
  <si>
    <t>Quebec|Plessisville</t>
  </si>
  <si>
    <t>Quebec|Port-Cartier</t>
  </si>
  <si>
    <t>Quebec|Puvirnituq</t>
  </si>
  <si>
    <t>Quebec|Ancienne-Lorette</t>
  </si>
  <si>
    <t>Quebec|Lévis</t>
  </si>
  <si>
    <t>Quebec|Québec</t>
  </si>
  <si>
    <t>Quebec|lu Sainte-Foy</t>
  </si>
  <si>
    <t>Quebec|Sillery</t>
  </si>
  <si>
    <t>Quebec|Richmond</t>
  </si>
  <si>
    <t>Quebec|Rimouski</t>
  </si>
  <si>
    <t>Quebec|Rivière-du-Loup</t>
  </si>
  <si>
    <t>Quebec|Roberval</t>
  </si>
  <si>
    <t>Quebec|Rock Island</t>
  </si>
  <si>
    <t>Quebec|Rosemère</t>
  </si>
  <si>
    <t>Quebec|Rouyn</t>
  </si>
  <si>
    <t>Quebec|Saguenay</t>
  </si>
  <si>
    <t>Quebec|Saguenay (Bagotville)</t>
  </si>
  <si>
    <t>Quebec|Saguenay (Jonquière)</t>
  </si>
  <si>
    <t>Quebec|Saguenay (Kénogami)</t>
  </si>
  <si>
    <t>Quebec|Sainte-Agathe-</t>
  </si>
  <si>
    <t>Quebec|Saint-Eustache</t>
  </si>
  <si>
    <t>Quebec|Saint-Félicien</t>
  </si>
  <si>
    <t>Quebec|Saint-Georges-de-</t>
  </si>
  <si>
    <t>Quebec|Saint-Hubert</t>
  </si>
  <si>
    <t>Quebec|Saint-Hubert-de-</t>
  </si>
  <si>
    <t>Quebec|Saint-Hyacinthe</t>
  </si>
  <si>
    <t>Quebec|Saint-Jean-sur-</t>
  </si>
  <si>
    <t>Quebec|Saint-Jérôme</t>
  </si>
  <si>
    <t>Quebec|Saint-Jovite</t>
  </si>
  <si>
    <t>Quebec|Saint-Lazare / Hudson</t>
  </si>
  <si>
    <t>Quebec|Saint-Nicolas</t>
  </si>
  <si>
    <t>Quebec|Salaberry-de-</t>
  </si>
  <si>
    <t>Quebec|Schefferville</t>
  </si>
  <si>
    <t>Quebec|Senneterre</t>
  </si>
  <si>
    <t>Quebec|Shawinigan</t>
  </si>
  <si>
    <t>Quebec|Shawville</t>
  </si>
  <si>
    <t>Quebec|Sherbrooke</t>
  </si>
  <si>
    <t>Quebec|Sorel</t>
  </si>
  <si>
    <t>Quebec|Sutton</t>
  </si>
  <si>
    <t>Quebec|Tadoussac</t>
  </si>
  <si>
    <t>Quebec|Témiscaming</t>
  </si>
  <si>
    <t>Quebec|Terrebonne</t>
  </si>
  <si>
    <t>Quebec|Thetford Mines</t>
  </si>
  <si>
    <t>Quebec|Thurso</t>
  </si>
  <si>
    <t>Quebec|Trois-Rivières</t>
  </si>
  <si>
    <t>Quebec|Val-d'Or</t>
  </si>
  <si>
    <t>Quebec|Varennes</t>
  </si>
  <si>
    <t>Quebec|Verchères</t>
  </si>
  <si>
    <t>Quebec|Victoriaville</t>
  </si>
  <si>
    <t>Quebec|Ville-Marie</t>
  </si>
  <si>
    <t>Quebec|Wakefield</t>
  </si>
  <si>
    <t>Quebec|Waterloo</t>
  </si>
  <si>
    <t>Quebec|Windsor</t>
  </si>
  <si>
    <t>Quebec|Bathurst</t>
  </si>
  <si>
    <t>Quebec|Vo Boiestown</t>
  </si>
  <si>
    <t>Quebec|Campbellton</t>
  </si>
  <si>
    <t>Quebec|Edmundston</t>
  </si>
  <si>
    <t>Quebec|Fredericton</t>
  </si>
  <si>
    <t>Quebec|Gagetown</t>
  </si>
  <si>
    <t>Quebec|Grand Falls</t>
  </si>
  <si>
    <t>Quebec|Miramichi</t>
  </si>
  <si>
    <t>Quebec|Moncton</t>
  </si>
  <si>
    <t>Quebec|Oromocto</t>
  </si>
  <si>
    <t>Quebec|Sackville</t>
  </si>
  <si>
    <t>Quebec|Saint Andrews</t>
  </si>
  <si>
    <t>Quebec|Saint John</t>
  </si>
  <si>
    <t>Quebec|Shippagan</t>
  </si>
  <si>
    <t>Quebec|St. George</t>
  </si>
  <si>
    <t>Quebec|St. Stephen</t>
  </si>
  <si>
    <t>Quebec|Woodstock</t>
  </si>
  <si>
    <t>Nova Scotia|Amherst</t>
  </si>
  <si>
    <t>Nova Scotia|Antigonish</t>
  </si>
  <si>
    <t>Nova Scotia|Bridgewater</t>
  </si>
  <si>
    <t>Nova Scotia|Canso</t>
  </si>
  <si>
    <t>Nova Scotia|Debert</t>
  </si>
  <si>
    <t>Nova Scotia|Digby</t>
  </si>
  <si>
    <t>Nova Scotia|Greenwood (CFB)</t>
  </si>
  <si>
    <t>Nova Scotia|iv Dartmouth</t>
  </si>
  <si>
    <t>Nova Scotia|Halifax</t>
  </si>
  <si>
    <t>Nova Scotia|Kentville</t>
  </si>
  <si>
    <t>Nova Scotia|Liverpool</t>
  </si>
  <si>
    <t>Nova Scotia|Lockeport</t>
  </si>
  <si>
    <t>Nova Scotia|Louisbourg</t>
  </si>
  <si>
    <t>Nova Scotia|Lunenburg</t>
  </si>
  <si>
    <t>Nova Scotia|New Glasgow</t>
  </si>
  <si>
    <t>Nova Scotia|North Sydney</t>
  </si>
  <si>
    <t>Nova Scotia|Pictou</t>
  </si>
  <si>
    <t>Nova Scotia|Port Hawkesbury</t>
  </si>
  <si>
    <t>Nova Scotia|Springhill</t>
  </si>
  <si>
    <t>Nova Scotia|Stewiacke</t>
  </si>
  <si>
    <t>Nova Scotia|Sydney</t>
  </si>
  <si>
    <t>Nova Scotia|Tatamagouche</t>
  </si>
  <si>
    <t>Nova Scotia|Truro</t>
  </si>
  <si>
    <t>Nova Scotia|Wolfville</t>
  </si>
  <si>
    <t>Nova Scotia|Yarmouth</t>
  </si>
  <si>
    <t>Prince Edward Island|Charlottetown</t>
  </si>
  <si>
    <t>Prince Edward Island|Souris</t>
  </si>
  <si>
    <t>Prince Edward Island|Summerside</t>
  </si>
  <si>
    <t>Prince Edward Island|Tignish</t>
  </si>
  <si>
    <t>Prince Edward Island|Argentia</t>
  </si>
  <si>
    <t>Prince Edward Island|Bonavista</t>
  </si>
  <si>
    <t>Prince Edward Island|Buchans</t>
  </si>
  <si>
    <t>Prince Edward Island|Cape Harrison</t>
  </si>
  <si>
    <t>Prince Edward Island|Cape Race</t>
  </si>
  <si>
    <t>Prince Edward Island|lu Channel-Port</t>
  </si>
  <si>
    <t>Prince Edward Island|Corner Brook</t>
  </si>
  <si>
    <t>Prince Edward Island|Gander</t>
  </si>
  <si>
    <t>Prince Edward Island|Grand Bank</t>
  </si>
  <si>
    <t>Prince Edward Island|Grand Falls</t>
  </si>
  <si>
    <t>Prince Edward Island|Happy Valley-Goose</t>
  </si>
  <si>
    <t>Prince Edward Island|Labrador City</t>
  </si>
  <si>
    <t>Prince Edward Island|St. Anthony</t>
  </si>
  <si>
    <t>Prince Edward Island|Stephenville</t>
  </si>
  <si>
    <t>Prince Edward Island|St. John's</t>
  </si>
  <si>
    <t>Prince Edward Island|Twin Falls</t>
  </si>
  <si>
    <t>Prince Edward Island|Wabana</t>
  </si>
  <si>
    <t>Prince Edward Island|Wabush</t>
  </si>
  <si>
    <t>Yukon|Aishihik</t>
  </si>
  <si>
    <t>Yukon|Dawson</t>
  </si>
  <si>
    <t>Yukon|Destruction Bay</t>
  </si>
  <si>
    <t>Yukon|Faro</t>
  </si>
  <si>
    <t>Yukon|Haines Junction</t>
  </si>
  <si>
    <t>Yukon|Snag</t>
  </si>
  <si>
    <t>Yukon|Teslin</t>
  </si>
  <si>
    <t>Yukon|Watson Lake</t>
  </si>
  <si>
    <t>Yukon|Whitehorse</t>
  </si>
  <si>
    <t>Northwest Territories|iv Aklavik</t>
  </si>
  <si>
    <t>Northwest Territories|on Behchokǫ̀ / Rae-Edzo</t>
  </si>
  <si>
    <t>Northwest Territories|Echo Bay /</t>
  </si>
  <si>
    <t>Northwest Territories|Fort Good Hope</t>
  </si>
  <si>
    <t>Northwest Territories|Fort McPherson</t>
  </si>
  <si>
    <t>Northwest Territories|Fort Providence</t>
  </si>
  <si>
    <t>Northwest Territories|Fort Resolution</t>
  </si>
  <si>
    <t>Northwest Territories|Fort Simpson</t>
  </si>
  <si>
    <t>Northwest Territories|Fort Smith</t>
  </si>
  <si>
    <t>Northwest Territories|Hay River</t>
  </si>
  <si>
    <t>Northwest Territories|Inuvik</t>
  </si>
  <si>
    <t>Northwest Territories|Mould Bay</t>
  </si>
  <si>
    <t>Northwest Territories|Norman Wells</t>
  </si>
  <si>
    <t>Northwest Territories|Tungsten</t>
  </si>
  <si>
    <t>Northwest Territories|Ulukhaktok / Holman</t>
  </si>
  <si>
    <t>Northwest Territories|Wrigley</t>
  </si>
  <si>
    <t>Northwest Territories|Yellowknife</t>
  </si>
  <si>
    <t>Nunavut|Alert</t>
  </si>
  <si>
    <t>Nunavut|Arctic Bay</t>
  </si>
  <si>
    <t>Nunavut|Arviat</t>
  </si>
  <si>
    <t>Nunavut|ld Baker Lake</t>
  </si>
  <si>
    <t>Nunavut|Eureka</t>
  </si>
  <si>
    <t>Nunavut|Igluligaarjuk /</t>
  </si>
  <si>
    <t>Nunavut|Iqaluit</t>
  </si>
  <si>
    <t>Nunavut|Iqaluktuuttiaq /</t>
  </si>
  <si>
    <t>Nunavut|Isachsen</t>
  </si>
  <si>
    <t>Nunavut|Kangiqiniq/RankinInlet</t>
  </si>
  <si>
    <t>Nunavut|Kanngiqtugaapik /</t>
  </si>
  <si>
    <t>Nunavut|Kugluktuk / Coppermine</t>
  </si>
  <si>
    <t>Nunavut|Nottingham Island</t>
  </si>
  <si>
    <t>Nunavut|Resolute</t>
  </si>
  <si>
    <t>Nunavut|Resolution Island</t>
  </si>
  <si>
    <t>Nunavut|Salliq / Coral Harbour</t>
  </si>
  <si>
    <t>1. General Seismic Analysis (4.1.8.1)</t>
  </si>
  <si>
    <t>Earthquake effects must be determined using Articles 4.1.8.2–4.1.8.23.</t>
  </si>
  <si>
    <t>Exception: for very low seismicity sites (IEF·Sa(0.2) &lt; 0.16 and IEF·Sa(2.0) &lt; 0.03).</t>
  </si>
  <si>
    <t>Requirements:</t>
  </si>
  <si>
    <t>Clear seismic force resisting system (SFRS) and load path.</t>
  </si>
  <si>
    <t>Earthquake forces assumed to act horizontally and independently in two orthogonal directions.</t>
  </si>
  <si>
    <t>Base shear Vs calculated using site coefficients (Fs), importance factor (IE), and spectral acceleration values Sa(T).</t>
  </si>
  <si>
    <t>Distribution of lateral forces over building height by prescribed formula.</t>
  </si>
  <si>
    <t>Accidental torsion: ±0.1DnxFx.</t>
  </si>
  <si>
    <t>Interstorey drift limits:</t>
  </si>
  <si>
    <t>Post-disaster: 0.01hs</t>
  </si>
  <si>
    <t>High importance: 0.02hs</t>
  </si>
  <si>
    <t>Normal/low: 0.025hs.</t>
  </si>
  <si>
    <t>2. Notation &amp; Definitions (4.1.8.2)</t>
  </si>
  <si>
    <t>Defines parameters like:</t>
  </si>
  <si>
    <t>Sa(T,X): 5%-damped spectral acceleration.</t>
  </si>
  <si>
    <t>S(T): design spectral acceleration.</t>
  </si>
  <si>
    <t>Rd, Ro: ductility and overstrength factors.</t>
  </si>
  <si>
    <t>IE: importance factor.</t>
  </si>
  <si>
    <t>Vs30, su, N60: soil properties for site classification.</t>
  </si>
  <si>
    <t>W: seismic weight = dead load + 25% snow + 60% storage.</t>
  </si>
  <si>
    <t>3. General Requirements (4.1.8.3)</t>
  </si>
  <si>
    <t>SFRS must resist 100% of seismic loads.</t>
  </si>
  <si>
    <t>Non-SFRS elements must either remain elastic or support gravity loads under seismic drift.</t>
  </si>
  <si>
    <t>Stiff non-SFRS elements must be separated or included in the seismic system.</t>
  </si>
  <si>
    <t>Modelling must include cracked stiffness, member sizes, P-Δ effects, etc.</t>
  </si>
  <si>
    <t>4. Site Properties (4.1.8.4)</t>
  </si>
  <si>
    <t>Site designation X determined by Vs30 or by N60 / su (Table 4.1.8.4.-B).</t>
  </si>
  <si>
    <t>Site classes: A (hard rock) to F (problematic soils).</t>
  </si>
  <si>
    <t>Site-specific study required for Class F soils.</t>
  </si>
  <si>
    <t>Design spectrum values S(T) taken at periods (0.2, 0.5, 1, 2, 5, 10s).</t>
  </si>
  <si>
    <t>Site coefficients Fa and Fv adjust ground motion.</t>
  </si>
  <si>
    <t>5. Importance Factor &amp; Seismic Category (4.1.8.5)</t>
  </si>
  <si>
    <t>Importance factor IE:</t>
  </si>
  <si>
    <t>Low = 0.8</t>
  </si>
  <si>
    <t>Normal = 1.0</t>
  </si>
  <si>
    <t>High = 1.3</t>
  </si>
  <si>
    <t>Post-disaster = 1.5</t>
  </si>
  <si>
    <t>Seismic Categories SC1–SC4 based on IES(0.2) and IES(1.0):</t>
  </si>
  <si>
    <t>SC1 = very low</t>
  </si>
  <si>
    <t>SC2 = low</t>
  </si>
  <si>
    <t>SC3 = moderate</t>
  </si>
  <si>
    <t>SC4 = high.</t>
  </si>
  <si>
    <t>6. Structural Configuration &amp; Irregularities (4.1.8.6 &amp; 4.1.8.7)</t>
  </si>
  <si>
    <t>Lists 10 irregularity types: soft storey, weak storey, torsional sensitivity, in-plane discontinuities, mass irregularities, etc.</t>
  </si>
  <si>
    <t>Regular vs irregular designation affects method of analysis.</t>
  </si>
  <si>
    <t>Analysis methods:</t>
  </si>
  <si>
    <t>Equivalent Static Procedure (ESFP) allowed for SC1, SC2, or regular short buildings.</t>
  </si>
  <si>
    <t>Otherwise, Dynamic Analysis required.</t>
  </si>
  <si>
    <t>7. SFRS Modification Factors (4.1.8.9)</t>
  </si>
  <si>
    <t>Rd (ductility factor) and Ro (overstrength factor) vary by system:</t>
  </si>
  <si>
    <t>Steel ductile moment frames: Rd = 5.0, Ro = 1.5.</t>
  </si>
  <si>
    <t>Concrete ductile frames: Rd = 4.0, Ro = 1.7.</t>
  </si>
  <si>
    <t>Timber nailed shear walls: Rd = 3.0, Ro = 1.7.</t>
  </si>
  <si>
    <t>Unreinforced masonry: Rd = 1.0, Ro = 1.0.</t>
  </si>
  <si>
    <t>Restrictions: height limits, irregularities, system-specific rules.</t>
  </si>
  <si>
    <t>8. Equivalent Static Force Procedure (4.1.8.11)</t>
  </si>
  <si>
    <t>Base shear V = function of Sa(Ta), IE, W, Rd, Ro.</t>
  </si>
  <si>
    <t>Minimum shear values defined by system type.</t>
  </si>
  <si>
    <t>Fundamental period Ta determined by formula (0.085hn^0.75 for steel frames, etc.).</t>
  </si>
  <si>
    <t>Vertical distribution includes Ft (top load = 0.07TaV).</t>
  </si>
  <si>
    <t>Higher mode effects accounted for with factors Mv and J (Table 4.1.8.11).</t>
  </si>
  <si>
    <t>Torsional sensitivity (B &gt; 1.7) requires dynamic analysis.</t>
  </si>
  <si>
    <t>Roof Slope =</t>
  </si>
  <si>
    <t>External Peak values of CgCp</t>
  </si>
  <si>
    <t>Building Surfaces</t>
  </si>
  <si>
    <t>0 to 90</t>
  </si>
  <si>
    <t>B=</t>
  </si>
  <si>
    <t>H=</t>
  </si>
  <si>
    <t>z = min (10% B , 40% H) &gt; 4% B or1m =</t>
  </si>
  <si>
    <t>y = max( 6m , 2z) =</t>
  </si>
  <si>
    <t>angle =</t>
  </si>
  <si>
    <t>External wind Load (kN/m2)</t>
  </si>
  <si>
    <t>A
(X direction)</t>
  </si>
  <si>
    <t>B
(Z direction)</t>
  </si>
  <si>
    <t>Internal wind Load (kN/m2)</t>
  </si>
  <si>
    <t>Great question. In projects, a “tie-in” is any interface where your new stick-built scope must physically or functionally connect to existing facilities. For a typical O&amp;G/industrial stick-build, you’ll see four big buckets of tie-ins—and each bucket has its own Canadian code path.</t>
  </si>
  <si>
    <t>1) What the tie-ins usually are (checklist)</t>
  </si>
  <si>
    <t>Structural / Civil</t>
  </si>
  <si>
    <t>New steel to existing steel (platforms, pipe racks, handrail), baseplates + anchor rods into existing concrete, housekeeping pads, bollards.</t>
  </si>
  <si>
    <t>Building interfaces (penetrations, curbs), grout and shimming details.</t>
  </si>
  <si>
    <t>Piping / Mechanical</t>
  </si>
  <si>
    <t>Process and utility lines (hydrocarbon, steam, condensate, instrument air, nitrogen, cooling water), drains (OWS, sanitary, storm), flare/relief headers.</t>
  </si>
  <si>
    <t>Connection types: butt-weld, flanged, hot taps, tie-in spools, spectacle blinds/test limits.</t>
  </si>
  <si>
    <t>Electrical / EHT</t>
  </si>
  <si>
    <t>Power feeders to MCC/switchgear, panelboard taps, grounding &amp; bonding, tray/routing interfaces, EHT (heat trace) terminations.</t>
  </si>
  <si>
    <t>Instrumentation / Controls / Fire &amp; Life Safety</t>
  </si>
  <si>
    <t>DCS/PLC I/O, SIS voting/logic, fiber/telecom, firewater/deluge/sprinklers, alarms/detections.</t>
  </si>
  <si>
    <t>2) Which standards govern each tie-in (Canada-centric)</t>
  </si>
  <si>
    <t>Loads (for anything structural)</t>
  </si>
  <si>
    <t>Use NBCC 2020 Part 4 for environmental &amp; building loads; the NRC Structural Commentaries help apply Part 4.</t>
  </si>
  <si>
    <t>Structural steel members &amp; connections</t>
  </si>
  <si>
    <t>CSA S16:19 is the steel design standard referenced with NBC 2020. It includes base plates/column bases and anchor rods (e.g., Table of Contents shows “25.3.5 Anchor rods in tension and bending”). Use S16 for member checks and connection design.</t>
  </si>
  <si>
    <t>Welding execution to CSA W59; the fabricator/erector must be certified to CSA W47.1.</t>
  </si>
  <si>
    <t>Anchorage into concrete (existing slabs/footings)</t>
  </si>
  <si>
    <t>Design anchor rods/post-installed anchors per CSA A23.3 Annex D – Anchorage (2019/2024 editions). (Accuris preview shows “Annex D (normative) — Anchorage”.)</t>
  </si>
  <si>
    <t>Industry references often note the CCD method in A23.3 Annex D for breakout, pry-out, etc.</t>
  </si>
  <si>
    <t>Piping tie-ins (inside facilities)</t>
  </si>
  <si>
    <t>ASME B31.3 Process Piping (widely adopted in Canada via provincial pressure regulations and CSA B51). Use B31.3 for design, materials, fabrication/inspection, testing; e.g., §319 covers flexibility analysis; branch/attachment fabrication is in §328; hot-tapping is addressed in §328.5.*</t>
  </si>
  <si>
    <t>CSA B51 governs the Canadian framework for boilers, pressure vessels and pressure piping (registration/CRN, inspection/testing regime).</t>
  </si>
  <si>
    <t>CSA C22.1 — Canadian Electrical Code (CEC), Part I. For tie-ins, you’ll hit Section 10 (Grounding &amp; Bonding) and, in refineries/plants, Section 18 (Hazardous Locations).</t>
  </si>
  <si>
    <t>Worker safety &amp; arc-flash: CSA Z462 (workplace electrical safety) used with CEC.</t>
  </si>
  <si>
    <t>Instrumentation / SIS</t>
  </si>
  <si>
    <t>CSA/IEC 61511 for Safety Instrumented Systems (adopted in Canada). Tie-ins that change SIFs/SIL targets must follow it.</t>
  </si>
  <si>
    <t>Firewater / Sprinklers (if your scope touches these)</t>
  </si>
  <si>
    <t>NFPA 13 is typically referenced for sprinkler system design in Canada (AHJ-dependent).</t>
  </si>
  <si>
    <t>Pipelines/outside battery limits (if applicable)</t>
  </si>
  <si>
    <t>Facility pipeline tie-ins may fall under CSA Z662 and CER/provincial rules (hot taps, O&amp;M).</t>
  </si>
  <si>
    <t>3) How to design each tie-in (practical workflow)</t>
  </si>
  <si>
    <t>A) Build the Tie-In List early</t>
  </si>
  <si>
    <t>For every pick-up point: tag, service, size/class/spec, P/T, corrosion allowance, metallurgy, elevation, coordinates, connection type (flange/weld/hot-tap), test limits, isolation/shutdown window, owner system boundary.</t>
  </si>
  <si>
    <t>B) Structural interfaces</t>
  </si>
  <si>
    <t>1. Get factored loads (self-weight, live, equipment, pipe loads, thermal, wind/seismic) per NBCC Part 4.</t>
  </si>
  <si>
    <t>2. Design new steel and connection details per CSA S16; welds to W59; fabricator certified to W47.1.</t>
  </si>
  <si>
    <t>3. For baseplates/anchor rods into existing concrete: design anchorage per CSA A23.3 Annex D (tension/shear/breakout, edge, spacing; check seismic if required).</t>
  </si>
  <si>
    <t>C) Piping tie-ins</t>
  </si>
  <si>
    <t>1. Confirm code of record is ASME B31.3 (inside the plant). Define design conditions, line class, branch reinforcement (per §304/§328).</t>
  </si>
  <si>
    <t>2. Do flexibility/stress per §319; check allowable displacements/nozzle loads (vendor/API methods).</t>
  </si>
  <si>
    <t>3. Choose connection method: flange vs weld; for hot taps, follow §328.5* + Owner/AHJ requirements (ABSA approvals in AB, etc.).</t>
  </si>
  <si>
    <t>4. Set pressure test boundaries &amp; exam to §341/§345; handle MOC/turnover with CSA B51 expectations.</t>
  </si>
  <si>
    <t>D) Electrical/EHT tie-ins</t>
  </si>
  <si>
    <t>1. Apply CEC, Part I: Section 10 for grounding/bonding; Section 18 for hazardous areas.</t>
  </si>
  <si>
    <t>2. Update short-circuit/coordination and arc-flash labels using CSA Z462 methods.</t>
  </si>
  <si>
    <t>E) Instrumentation / SIS</t>
  </si>
  <si>
    <t>Any change to SIFs goes through CSA/IEC 61511 lifecycle (hazard analysis, SIL verification, proof test updates).</t>
  </si>
  <si>
    <t>F) Firewater/sprinklers (if affected)</t>
  </si>
  <si>
    <t>Modify per NFPA 13 and local Fire Code/AHJ guidance.</t>
  </si>
  <si>
    <t>4) Quick design example (piping + structural)</t>
  </si>
  <si>
    <t>4-in, 600# hydrocarbon line tie-in:</t>
  </si>
  <si>
    <t>• B31.3: verify materials &amp; MOP; branch detail per §328; flexibility check per §319; hydrotest limit &amp; NDE per §341/§345; hot tap if no shutdown (follow §328.5.* + owner procedure).</t>
  </si>
  <si>
    <t>• New support steel &amp; baseplate at rack: loads from piping to NBCC; design member/connection to CSA S16/W59/W47.1; anchors into existing pier to CSA A23.3 Annex D.</t>
  </si>
  <si>
    <t>Tips that save grief on stick-build tie-ins</t>
  </si>
  <si>
    <t>Allow field-fit spools and slotted holes/shims at supports for tolerance.</t>
  </si>
  <si>
    <t>Freeze a Red-Line/Tie-In Package with isos, elevations, P&amp;IDs, test limits, and outage windows.</t>
  </si>
  <si>
    <t>Pre-clear hot work and hot-tap approvals early (Owner/AHJ).</t>
  </si>
  <si>
    <t>If you want, I can turn this into a one-page tie-in checklist for your project (with code references per discipline) or walk a real tie-in from your current job and draft the calcs/drawings list it needs.</t>
  </si>
  <si>
    <t>Crane Load Design Criteria:</t>
  </si>
  <si>
    <t>Ref: CSSBI - NBCC 2015 Design Load Criteria For Steel Building Systems</t>
  </si>
  <si>
    <t xml:space="preserve">17.591 m span, 36.5 length,11.44 m, </t>
  </si>
  <si>
    <t>6-6m bays, EOC.</t>
  </si>
  <si>
    <t xml:space="preserve">1-10 tonne, Class C, EOC. </t>
  </si>
  <si>
    <t xml:space="preserve">Crane Weight : </t>
  </si>
  <si>
    <t xml:space="preserve"> kg    =</t>
  </si>
  <si>
    <t>kN</t>
  </si>
  <si>
    <t xml:space="preserve">Hoist + Trolley: </t>
  </si>
  <si>
    <t xml:space="preserve">Maximum Wheel Load: </t>
  </si>
  <si>
    <t xml:space="preserve"> kg    = </t>
  </si>
  <si>
    <t>Number of Wheels: 4 Total</t>
  </si>
  <si>
    <t>Wheel Spacing: 4770 mm Crane Span.</t>
  </si>
  <si>
    <t>Vertical Clearance:</t>
  </si>
  <si>
    <t>Horizontal Clearance:</t>
  </si>
  <si>
    <t xml:space="preserve">Hook Closest Approach: </t>
  </si>
  <si>
    <t>Crane Span (SPD):</t>
  </si>
  <si>
    <t xml:space="preserve">Building Width (BWD) = </t>
  </si>
  <si>
    <t xml:space="preserve"> mm</t>
  </si>
  <si>
    <t xml:space="preserve">Assumed Framed Width (AFWD) = </t>
  </si>
  <si>
    <t xml:space="preserve">mm </t>
  </si>
  <si>
    <t>Horizontal (Side) Clearance (HCD) =</t>
  </si>
  <si>
    <t>mm b/s</t>
  </si>
  <si>
    <t>Vertical Clearance: 75 mm</t>
  </si>
  <si>
    <t xml:space="preserve">Crane Span (SPD)  = </t>
  </si>
  <si>
    <t xml:space="preserve"> BWD - 2(AFWD + HCD)</t>
  </si>
  <si>
    <t>mm</t>
  </si>
  <si>
    <t xml:space="preserve">Lxc </t>
  </si>
  <si>
    <t>Live Load Exclusive for Crane Loads</t>
  </si>
  <si>
    <t>Live Load due to Crane Including Self Weight</t>
  </si>
  <si>
    <t>Cd</t>
  </si>
  <si>
    <t xml:space="preserve">Self weight of all cranes positioned for max effect. </t>
  </si>
  <si>
    <t>Crane Loads:</t>
  </si>
  <si>
    <t xml:space="preserve">C7 </t>
  </si>
  <si>
    <t>Crane bumper impact load.</t>
  </si>
  <si>
    <t>Lifted Crane Load (LCL) =</t>
  </si>
  <si>
    <t>10 Tonnes =</t>
  </si>
  <si>
    <t xml:space="preserve">Crane Self Weight (CW) = </t>
  </si>
  <si>
    <t xml:space="preserve">Trolley and Hoist Weight (THW) = </t>
  </si>
  <si>
    <t>Load Combination with Crane Load for ULS</t>
  </si>
  <si>
    <t>Case</t>
  </si>
  <si>
    <t>Principal Loads (NBCC)</t>
  </si>
  <si>
    <t>Companion Loads (NBCC)</t>
  </si>
  <si>
    <t>Full Combination (NBCC symbols)</t>
  </si>
  <si>
    <t xml:space="preserve">Lifted load is hoisted far to the left as physically possible closest  to the left support, this is the Hook approach. </t>
  </si>
  <si>
    <t>(1.25D) + (1.5C + 1.0LxC)</t>
  </si>
  <si>
    <t>1.0S</t>
  </si>
  <si>
    <t>1.25D + 1.5C + 1.0LxC + 1.0S</t>
  </si>
  <si>
    <t>0.4W</t>
  </si>
  <si>
    <t>1.25D + 1.5C + 1.0LxC + 0.4W</t>
  </si>
  <si>
    <t xml:space="preserve">Hook Approach (HAD) = </t>
  </si>
  <si>
    <t>(0.9D) + (1.5C + 1.0LxC)</t>
  </si>
  <si>
    <t>0.9D + 1.5C + 1.0LxC + 1.0S</t>
  </si>
  <si>
    <t xml:space="preserve">Max. Load Factor (MXLF): </t>
  </si>
  <si>
    <t>0.9D + 1.5C + 1.0LxC + 0.4W</t>
  </si>
  <si>
    <t xml:space="preserve">MXLF = (SPD-HAD)/SPD = </t>
  </si>
  <si>
    <t>(1.25D) + (1.5LxC + 1.0C)</t>
  </si>
  <si>
    <t>1.25D + 1.5LxC + 1.0C + 1.0S</t>
  </si>
  <si>
    <t>1.25D + 1.5LxC + 1.0C + 0.4W</t>
  </si>
  <si>
    <t xml:space="preserve">Minimumum Load Factor (MNLF): </t>
  </si>
  <si>
    <t>(0.9D) + (1.5LxC + 1.0C)</t>
  </si>
  <si>
    <t>0.9D + 1.5LxC + 1.0C + 1.0S</t>
  </si>
  <si>
    <t xml:space="preserve">MNLF = 1 - MXLF = </t>
  </si>
  <si>
    <t>0.9D + 1.5LxC + 1.0C + 0.4W</t>
  </si>
  <si>
    <t>(1.25D) + 1.5S</t>
  </si>
  <si>
    <t>1.0C + 1.0LxC</t>
  </si>
  <si>
    <t>1.25D + 1.5S + 1.0C + 1.0LxC</t>
  </si>
  <si>
    <t>2-wheels per Truck and 2-Trucks per Crane (4 Wheels Total):</t>
  </si>
  <si>
    <t>(0.9D) + 1.5S</t>
  </si>
  <si>
    <t>0.9D + 1.5S + 1.0C + 1.0LxC</t>
  </si>
  <si>
    <t>(1.25D) + 1.4W</t>
  </si>
  <si>
    <t>1.0C + 0.5LxC</t>
  </si>
  <si>
    <t>1.25D + 1.4W + 1.0C + 0.5LxC</t>
  </si>
  <si>
    <t xml:space="preserve">  Wheels per Truck (TrW) = </t>
  </si>
  <si>
    <t>(0.9D) + 1.4W</t>
  </si>
  <si>
    <t>0.9D + 1.4W + 1.0C + 0.5LxC</t>
  </si>
  <si>
    <t>Total Number of Wheel (TTrW) =</t>
  </si>
  <si>
    <t>(1.25D) + C7</t>
  </si>
  <si>
    <t>—</t>
  </si>
  <si>
    <t>1.25D + C7</t>
  </si>
  <si>
    <t>(0.9D) + C7</t>
  </si>
  <si>
    <t>0.9D + C7</t>
  </si>
  <si>
    <t>Maximum Static Wheel Loads (MXWL)  =  CW/TTrW + MXLF ( THW + LCL)/TrW</t>
  </si>
  <si>
    <t>CSS</t>
  </si>
  <si>
    <t>1.0D + 1.0E</t>
  </si>
  <si>
    <t>1.0Cd + 0.5LxC + 0.25S</t>
  </si>
  <si>
    <t>1.0D + 1.0E + 1.0Cd + 0.5LxC + 0.25S</t>
  </si>
  <si>
    <t>Minimum Wheel Load (MNWL) = CW/TTrW + MNLF ( THW + LCL)/TrW</t>
  </si>
  <si>
    <t>Sum of Wheel Loads =  2MXWL + 2MNWL</t>
  </si>
  <si>
    <t xml:space="preserve">Maximum Distance between Frames is the bay size (BAYD) = </t>
  </si>
  <si>
    <t>The Wheel Spacing (WSD) =</t>
  </si>
  <si>
    <t>Truck Wheel Factor (TWF) = (2-WSD/BAYD) =</t>
  </si>
  <si>
    <t>Vertical Frame Load:</t>
  </si>
  <si>
    <t xml:space="preserve">Runway beam, rail and accessories (RDL) = </t>
  </si>
  <si>
    <t xml:space="preserve">Maximum Live Load: </t>
  </si>
  <si>
    <t xml:space="preserve">MXVFL = MXWL * TWF + RDL = </t>
  </si>
  <si>
    <t xml:space="preserve">Minimum Live Load: </t>
  </si>
  <si>
    <t>MNVFL = MNWL * TWF + RDL =</t>
  </si>
  <si>
    <t xml:space="preserve">Horizontal Load (Lateral): </t>
  </si>
  <si>
    <t xml:space="preserve">20% of the lifted load, of the sum of the lifted load, weight of the trolley and hoist weight applied at the top 
</t>
  </si>
  <si>
    <t>of the rail and is equally divided between each side of the crane</t>
  </si>
  <si>
    <t xml:space="preserve">If the support structure response is significantly asymmetric it may be reasonable to distribute the loads </t>
  </si>
  <si>
    <t xml:space="preserve">according to relative stiffness of each side of the support. For a symmetric frame an equal distribution to each </t>
  </si>
  <si>
    <t>side is appropriate</t>
  </si>
  <si>
    <t xml:space="preserve">Note: Css (Side Thrust due to a Single Crane) from NBCC 2005 – Part 4 is the same as CLHL (Crane Lateral Horizontal </t>
  </si>
  <si>
    <t>Load) from the CSSBI – NBCC 2015 Design Load Criteria. Side Thrust/Lateral Horizontal Load is also refered to as</t>
  </si>
  <si>
    <t xml:space="preserve">Lateral Surge. </t>
  </si>
  <si>
    <t>Css = CLHL = CRHL = (20% (THW + LCL) /2 ) TWF =</t>
  </si>
  <si>
    <t>Longitudinal Load:</t>
  </si>
  <si>
    <t>The longitudinal load is to be 10% of the maximum wheel load at the top of the rail.</t>
  </si>
  <si>
    <t xml:space="preserve">Cls = CLLL = CRLL = 10% ( MXWL ) TrW = </t>
  </si>
  <si>
    <t>Impact Load:</t>
  </si>
  <si>
    <t>Vertical Crane Impact</t>
  </si>
  <si>
    <t>Dynamic vertical load = 1.25 × (crane + trolley/hoist + lifted load)</t>
  </si>
  <si>
    <t>NBC Table 4.1.5.11/CSSBI B8</t>
  </si>
  <si>
    <t>Horizontal Crane Impact</t>
  </si>
  <si>
    <t xml:space="preserve">Crane Bumper Impact (C₇) = </t>
  </si>
  <si>
    <t>NBCC 2020 - Table 4.1.3.2.-B</t>
  </si>
  <si>
    <t>Horizontal impact from crane bridge hitting end stop</t>
  </si>
  <si>
    <t>C7 = Cvs + Cis + Cbs</t>
  </si>
  <si>
    <t xml:space="preserve">CISC - Crane-Supporting Steel </t>
  </si>
  <si>
    <t>Structures Design Guide: 1st Edition</t>
  </si>
  <si>
    <t>Cbs = max{2x((Longitudinal Tractive Force), 10%(Crane Weight without Load)}</t>
  </si>
  <si>
    <t xml:space="preserve">     = max{2*CLLL, 0.1*CW)</t>
  </si>
  <si>
    <t xml:space="preserve"> Cbs=</t>
  </si>
  <si>
    <t>Cvs = (bridge + trolley + hoist + lifted load) / number of wheels.</t>
  </si>
  <si>
    <t>Cvs =</t>
  </si>
  <si>
    <t>Cis =  (Impact Factor - 1.0) x Cvs</t>
  </si>
  <si>
    <t xml:space="preserve">Impact factor = </t>
  </si>
  <si>
    <t xml:space="preserve"> or </t>
  </si>
  <si>
    <t xml:space="preserve"> (NBCC Table 4.1.5.11).</t>
  </si>
  <si>
    <t xml:space="preserve">Cis = </t>
  </si>
  <si>
    <t xml:space="preserve">The CISC guide likewise notes that C₇ is included in load combination C7, commonly applied at full rated speed </t>
  </si>
  <si>
    <t>(power off) and considered an accidental load; a load factor of 1.0 is used.</t>
  </si>
  <si>
    <t>Serviceability: Class C Deflection: L/600 (Vertical)</t>
  </si>
  <si>
    <t>Lateral drift of the runway beam: ≈ L/400</t>
  </si>
  <si>
    <t>As per Table 2.2 - Crane Load Combinations in CISC - Crane-Supporting Steel Structures Design Guide: 1st Edition)</t>
  </si>
  <si>
    <t xml:space="preserve">C1 = </t>
  </si>
  <si>
    <t xml:space="preserve">kN </t>
  </si>
  <si>
    <t>Fatigue</t>
  </si>
  <si>
    <t xml:space="preserve">C2 = </t>
  </si>
  <si>
    <t xml:space="preserve">Single crane in a single aisle. </t>
  </si>
  <si>
    <t xml:space="preserve">C7 = </t>
  </si>
  <si>
    <t>Bumper Impact (Lateral)</t>
  </si>
  <si>
    <t>Location</t>
  </si>
  <si>
    <t>Fort Mckay</t>
  </si>
  <si>
    <t>=0.00064645*L137^2</t>
  </si>
  <si>
    <t>=V20,W20</t>
  </si>
  <si>
    <t xml:space="preserve">√(q/ 0.00064645) </t>
  </si>
  <si>
    <t xml:space="preserve">V </t>
  </si>
  <si>
    <t>V (m/s)</t>
  </si>
  <si>
    <t>q (kPa)</t>
  </si>
  <si>
    <t>(Table C-2 ,  Appendix C, NBCC 2020)</t>
  </si>
  <si>
    <t>Pipeack Dimensions:</t>
  </si>
  <si>
    <t xml:space="preserve">Href = </t>
  </si>
  <si>
    <t>1.5 +1.85</t>
  </si>
  <si>
    <t>1.325+1.48</t>
  </si>
  <si>
    <t>(1.325+1.48)/2</t>
  </si>
  <si>
    <r>
      <t>C</t>
    </r>
    <r>
      <rPr>
        <b/>
        <i/>
        <vertAlign val="subscript"/>
        <sz val="14"/>
        <color rgb="FF0000FF"/>
        <rFont val="Book Antiqua"/>
        <family val="1"/>
      </rPr>
      <t>s</t>
    </r>
  </si>
  <si>
    <r>
      <t>W</t>
    </r>
    <r>
      <rPr>
        <b/>
        <sz val="9"/>
        <color rgb="FF0000FF"/>
        <rFont val="Book Antiqua"/>
        <family val="1"/>
      </rPr>
      <t xml:space="preserve">frame </t>
    </r>
    <r>
      <rPr>
        <b/>
        <sz val="11"/>
        <color rgb="FF0000FF"/>
        <rFont val="Book Antiqua"/>
        <family val="1"/>
      </rPr>
      <t xml:space="preserve">= </t>
    </r>
  </si>
  <si>
    <r>
      <t>L</t>
    </r>
    <r>
      <rPr>
        <b/>
        <sz val="9"/>
        <color rgb="FF0000FF"/>
        <rFont val="Book Antiqua"/>
        <family val="1"/>
      </rPr>
      <t>frame</t>
    </r>
    <r>
      <rPr>
        <b/>
        <sz val="11"/>
        <color rgb="FF0000FF"/>
        <rFont val="Book Antiqua"/>
        <family val="1"/>
      </rPr>
      <t>=</t>
    </r>
  </si>
  <si>
    <r>
      <t>H</t>
    </r>
    <r>
      <rPr>
        <b/>
        <sz val="9"/>
        <color rgb="FF0000FF"/>
        <rFont val="Book Antiqua"/>
        <family val="1"/>
      </rPr>
      <t>ref</t>
    </r>
    <r>
      <rPr>
        <b/>
        <sz val="11"/>
        <color rgb="FF0000FF"/>
        <rFont val="Book Antiqua"/>
        <family val="1"/>
      </rPr>
      <t xml:space="preserve"> = </t>
    </r>
  </si>
  <si>
    <t>Fort Mackay</t>
  </si>
  <si>
    <r>
      <t>I</t>
    </r>
    <r>
      <rPr>
        <b/>
        <sz val="8"/>
        <color rgb="FF0000FF"/>
        <rFont val="Book Antiqua"/>
        <family val="1"/>
      </rPr>
      <t>w</t>
    </r>
  </si>
  <si>
    <t>NBCC 2020 Section 4.1.7.3 (6)(a)</t>
  </si>
  <si>
    <t>On Flat Earth Surface</t>
  </si>
  <si>
    <t>NBCC 2020 Section 4.1.7.3 (6)(c)</t>
  </si>
  <si>
    <t>For Buildings</t>
  </si>
  <si>
    <t xml:space="preserve">c) Other Structural Elements that are not buildings. </t>
  </si>
  <si>
    <t xml:space="preserve">Href = H = </t>
  </si>
  <si>
    <r>
      <t xml:space="preserve">For the Gust Effect Factor, </t>
    </r>
    <r>
      <rPr>
        <b/>
        <i/>
        <sz val="12"/>
        <rFont val="Book Antiqua"/>
        <family val="1"/>
      </rPr>
      <t>C</t>
    </r>
    <r>
      <rPr>
        <b/>
        <i/>
        <sz val="8"/>
        <rFont val="Book Antiqua"/>
        <family val="1"/>
      </rPr>
      <t>g</t>
    </r>
    <r>
      <rPr>
        <b/>
        <i/>
        <sz val="11"/>
        <rFont val="Book Antiqua"/>
        <family val="1"/>
      </rPr>
      <t>:</t>
    </r>
  </si>
  <si>
    <r>
      <rPr>
        <b/>
        <i/>
        <sz val="12"/>
        <color rgb="FF0000FF"/>
        <rFont val="Book Antiqua"/>
        <family val="1"/>
      </rPr>
      <t>C</t>
    </r>
    <r>
      <rPr>
        <b/>
        <i/>
        <vertAlign val="subscript"/>
        <sz val="12"/>
        <color rgb="FF0000FF"/>
        <rFont val="Book Antiqua"/>
        <family val="1"/>
      </rPr>
      <t>g</t>
    </r>
  </si>
  <si>
    <t>ULS -  Normal Importance - 1/50 year wind  - flat topographic surface -  Href &gt; 6m - Structures with large unpartitioned volumes and few overhead doors - Pressure exerted on building with large openings likely to remaing open</t>
  </si>
  <si>
    <t>57.24, 111.05</t>
  </si>
  <si>
    <t>57, 111</t>
  </si>
  <si>
    <t>How would lifting lugs be designed for a piperack/pipe support that looks like this</t>
  </si>
  <si>
    <t>ChatGPT said:</t>
  </si>
  <si>
    <r>
      <t xml:space="preserve">Great question — lifting lugs for a pipe rack/pipe support like the one in your image are critical for safe handling during transport and installation. Here’s how you’d approach their </t>
    </r>
    <r>
      <rPr>
        <b/>
        <sz val="11"/>
        <color theme="1"/>
        <rFont val="Aptos Narrow"/>
        <family val="2"/>
        <scheme val="minor"/>
      </rPr>
      <t>design</t>
    </r>
    <r>
      <rPr>
        <sz val="11"/>
        <color theme="1"/>
        <rFont val="Aptos Narrow"/>
        <family val="2"/>
        <scheme val="minor"/>
      </rPr>
      <t>:</t>
    </r>
  </si>
  <si>
    <t>1. Establish Loads to Be Lifted</t>
  </si>
  <si>
    <r>
      <t>Self-weight of steel frame</t>
    </r>
    <r>
      <rPr>
        <sz val="11"/>
        <color theme="1"/>
        <rFont val="Aptos Narrow"/>
        <family val="2"/>
        <scheme val="minor"/>
      </rPr>
      <t xml:space="preserve"> (calculate from section weights, e.g., W310x118, W250x58, HSS, plates).</t>
    </r>
  </si>
  <si>
    <r>
      <t>Additional weight</t>
    </r>
    <r>
      <rPr>
        <sz val="11"/>
        <color theme="1"/>
        <rFont val="Aptos Narrow"/>
        <family val="2"/>
        <scheme val="minor"/>
      </rPr>
      <t xml:space="preserve"> (pipes if pre-installed, insulation if included).</t>
    </r>
  </si>
  <si>
    <r>
      <t>Dynamic factors</t>
    </r>
    <r>
      <rPr>
        <sz val="11"/>
        <color theme="1"/>
        <rFont val="Aptos Narrow"/>
        <family val="2"/>
        <scheme val="minor"/>
      </rPr>
      <t>:</t>
    </r>
  </si>
  <si>
    <r>
      <t xml:space="preserve">CSA S16 / CISC recommends using </t>
    </r>
    <r>
      <rPr>
        <b/>
        <sz val="11"/>
        <color theme="1"/>
        <rFont val="Aptos Narrow"/>
        <family val="2"/>
        <scheme val="minor"/>
      </rPr>
      <t>1.3–1.5 × self-weight</t>
    </r>
    <r>
      <rPr>
        <sz val="11"/>
        <color theme="1"/>
        <rFont val="Aptos Narrow"/>
        <family val="2"/>
        <scheme val="minor"/>
      </rPr>
      <t xml:space="preserve"> to account for lift dynamics.</t>
    </r>
  </si>
  <si>
    <r>
      <t xml:space="preserve">Add load factors from </t>
    </r>
    <r>
      <rPr>
        <b/>
        <sz val="11"/>
        <color theme="1"/>
        <rFont val="Aptos Narrow"/>
        <family val="2"/>
        <scheme val="minor"/>
      </rPr>
      <t>rigging angle</t>
    </r>
    <r>
      <rPr>
        <sz val="11"/>
        <color theme="1"/>
        <rFont val="Aptos Narrow"/>
        <family val="2"/>
        <scheme val="minor"/>
      </rPr>
      <t xml:space="preserve"> (sling angle &lt; 90° increases forces).</t>
    </r>
  </si>
  <si>
    <t>👉 Example:</t>
  </si>
  <si>
    <t>If the rack weighs 50 kN, design lug for ~75 kN including dynamics and sling angle.</t>
  </si>
  <si>
    <t>2. Lug Location</t>
  </si>
  <si>
    <r>
      <t>At or near the top beams</t>
    </r>
    <r>
      <rPr>
        <sz val="11"/>
        <color theme="1"/>
        <rFont val="Aptos Narrow"/>
        <family val="2"/>
        <scheme val="minor"/>
      </rPr>
      <t xml:space="preserve"> (W310 or W250 top chords).</t>
    </r>
  </si>
  <si>
    <t>Symmetrically placed to maintain balance.</t>
  </si>
  <si>
    <r>
      <t xml:space="preserve">Number of lugs: usually </t>
    </r>
    <r>
      <rPr>
        <b/>
        <sz val="11"/>
        <color theme="1"/>
        <rFont val="Aptos Narrow"/>
        <family val="2"/>
        <scheme val="minor"/>
      </rPr>
      <t>4 lugs</t>
    </r>
    <r>
      <rPr>
        <sz val="11"/>
        <color theme="1"/>
        <rFont val="Aptos Narrow"/>
        <family val="2"/>
        <scheme val="minor"/>
      </rPr>
      <t>, one near each corner of the top frame.</t>
    </r>
  </si>
  <si>
    <t>Ensure lift center of gravity is inside the sling quadrilateral.</t>
  </si>
  <si>
    <t>3. Lug Geometry</t>
  </si>
  <si>
    <r>
      <t>Shape</t>
    </r>
    <r>
      <rPr>
        <sz val="11"/>
        <color theme="1"/>
        <rFont val="Aptos Narrow"/>
        <family val="2"/>
        <scheme val="minor"/>
      </rPr>
      <t xml:space="preserve">: Typically a plate with a </t>
    </r>
    <r>
      <rPr>
        <b/>
        <sz val="11"/>
        <color theme="1"/>
        <rFont val="Aptos Narrow"/>
        <family val="2"/>
        <scheme val="minor"/>
      </rPr>
      <t>circular hole or slotted hole</t>
    </r>
    <r>
      <rPr>
        <sz val="11"/>
        <color theme="1"/>
        <rFont val="Aptos Narrow"/>
        <family val="2"/>
        <scheme val="minor"/>
      </rPr>
      <t xml:space="preserve"> for shackles.</t>
    </r>
  </si>
  <si>
    <r>
      <t>Thickness</t>
    </r>
    <r>
      <rPr>
        <sz val="11"/>
        <color theme="1"/>
        <rFont val="Aptos Narrow"/>
        <family val="2"/>
        <scheme val="minor"/>
      </rPr>
      <t>: Based on load transfer and shackle pin diameter. Common range: 25–50 mm.</t>
    </r>
  </si>
  <si>
    <r>
      <t>Hole diameter</t>
    </r>
    <r>
      <rPr>
        <sz val="11"/>
        <color theme="1"/>
        <rFont val="Aptos Narrow"/>
        <family val="2"/>
        <scheme val="minor"/>
      </rPr>
      <t>: shackle pin + 2–3 mm clearance.</t>
    </r>
  </si>
  <si>
    <r>
      <t>Edge distance</t>
    </r>
    <r>
      <rPr>
        <sz val="11"/>
        <color theme="1"/>
        <rFont val="Aptos Narrow"/>
        <family val="2"/>
        <scheme val="minor"/>
      </rPr>
      <t>: ≥ 2 × plate thickness from hole edge to plate edge.</t>
    </r>
  </si>
  <si>
    <r>
      <t>Reinforcement</t>
    </r>
    <r>
      <rPr>
        <sz val="11"/>
        <color theme="1"/>
        <rFont val="Aptos Narrow"/>
        <family val="2"/>
        <scheme val="minor"/>
      </rPr>
      <t>: Often stiffened with doubler plates or gussets to prevent tearing.</t>
    </r>
  </si>
  <si>
    <t>4. Design Checks (CSA S16 / CISC Guidelines)</t>
  </si>
  <si>
    <t>Check against the following failure modes:</t>
  </si>
  <si>
    <r>
      <t>Bearing on hole</t>
    </r>
    <r>
      <rPr>
        <sz val="11"/>
        <color theme="1"/>
        <rFont val="Aptos Narrow"/>
        <family val="2"/>
        <scheme val="minor"/>
      </rPr>
      <t>:</t>
    </r>
  </si>
  <si>
    <t>Pb=ϕb⋅2t⋅d⋅FuP_b = \phi_b \cdot 2t \cdot d \cdot F_uPb​=ϕb​⋅2t⋅d⋅Fu​</t>
  </si>
  <si>
    <r>
      <t>Tear-out (shear-out)</t>
    </r>
    <r>
      <rPr>
        <sz val="11"/>
        <color theme="1"/>
        <rFont val="Aptos Narrow"/>
        <family val="2"/>
        <scheme val="minor"/>
      </rPr>
      <t>:</t>
    </r>
  </si>
  <si>
    <t>Ptear=ϕ⋅e⋅t⋅FuP_{tear} = \phi \cdot e \cdot t \cdot F_uPtear​=ϕ⋅e⋅t⋅Fu​</t>
  </si>
  <si>
    <r>
      <t>Block shear</t>
    </r>
    <r>
      <rPr>
        <sz val="11"/>
        <color theme="1"/>
        <rFont val="Aptos Narrow"/>
        <family val="2"/>
        <scheme val="minor"/>
      </rPr>
      <t>: shear plane around hole.</t>
    </r>
  </si>
  <si>
    <r>
      <t>Plate bending</t>
    </r>
    <r>
      <rPr>
        <sz val="11"/>
        <color theme="1"/>
        <rFont val="Aptos Narrow"/>
        <family val="2"/>
        <scheme val="minor"/>
      </rPr>
      <t>: around hole from sling forces.</t>
    </r>
  </si>
  <si>
    <r>
      <t>Weld capacity</t>
    </r>
    <r>
      <rPr>
        <sz val="11"/>
        <color theme="1"/>
        <rFont val="Aptos Narrow"/>
        <family val="2"/>
        <scheme val="minor"/>
      </rPr>
      <t>: lug-to-beam weld must exceed lug strength.</t>
    </r>
  </si>
  <si>
    <t>5. Supporting Member Check</t>
  </si>
  <si>
    <r>
      <t xml:space="preserve">The </t>
    </r>
    <r>
      <rPr>
        <b/>
        <sz val="11"/>
        <color theme="1"/>
        <rFont val="Aptos Narrow"/>
        <family val="2"/>
        <scheme val="minor"/>
      </rPr>
      <t>W310x118 or W250x58 beams</t>
    </r>
    <r>
      <rPr>
        <sz val="11"/>
        <color theme="1"/>
        <rFont val="Aptos Narrow"/>
        <family val="2"/>
        <scheme val="minor"/>
      </rPr>
      <t xml:space="preserve"> must be checked for </t>
    </r>
    <r>
      <rPr>
        <b/>
        <sz val="11"/>
        <color theme="1"/>
        <rFont val="Aptos Narrow"/>
        <family val="2"/>
        <scheme val="minor"/>
      </rPr>
      <t>local stresses</t>
    </r>
    <r>
      <rPr>
        <sz val="11"/>
        <color theme="1"/>
        <rFont val="Aptos Narrow"/>
        <family val="2"/>
        <scheme val="minor"/>
      </rPr>
      <t xml:space="preserve"> from lug welding:</t>
    </r>
  </si>
  <si>
    <t>Local flange bending.</t>
  </si>
  <si>
    <t>Web crippling under concentrated lug load.</t>
  </si>
  <si>
    <r>
      <t xml:space="preserve">Reinforce with </t>
    </r>
    <r>
      <rPr>
        <b/>
        <sz val="11"/>
        <color theme="1"/>
        <rFont val="Aptos Narrow"/>
        <family val="2"/>
        <scheme val="minor"/>
      </rPr>
      <t>doubler plates</t>
    </r>
    <r>
      <rPr>
        <sz val="11"/>
        <color theme="1"/>
        <rFont val="Aptos Narrow"/>
        <family val="2"/>
        <scheme val="minor"/>
      </rPr>
      <t xml:space="preserve"> if necessary.</t>
    </r>
  </si>
  <si>
    <t>6. Rigging Considerations</t>
  </si>
  <si>
    <t>Sling angle ≤ 60° (forces increase as angle decreases).</t>
  </si>
  <si>
    <r>
      <t xml:space="preserve">Ensure </t>
    </r>
    <r>
      <rPr>
        <b/>
        <sz val="11"/>
        <color theme="1"/>
        <rFont val="Aptos Narrow"/>
        <family val="2"/>
        <scheme val="minor"/>
      </rPr>
      <t>shackle–lug compatibility</t>
    </r>
    <r>
      <rPr>
        <sz val="11"/>
        <color theme="1"/>
        <rFont val="Aptos Narrow"/>
        <family val="2"/>
        <scheme val="minor"/>
      </rPr>
      <t xml:space="preserve"> (diameter &amp; bending clearance).</t>
    </r>
  </si>
  <si>
    <t>Lug orientation: vertical to avoid secondary bending.</t>
  </si>
  <si>
    <r>
      <t xml:space="preserve">✅ </t>
    </r>
    <r>
      <rPr>
        <b/>
        <sz val="11"/>
        <color theme="1"/>
        <rFont val="Aptos Narrow"/>
        <family val="2"/>
        <scheme val="minor"/>
      </rPr>
      <t>Summary for Your Rack:</t>
    </r>
  </si>
  <si>
    <r>
      <t xml:space="preserve">Place </t>
    </r>
    <r>
      <rPr>
        <b/>
        <sz val="11"/>
        <color theme="1"/>
        <rFont val="Aptos Narrow"/>
        <family val="2"/>
        <scheme val="minor"/>
      </rPr>
      <t>4 lugs at the top W310x118/W250x58 beams</t>
    </r>
    <r>
      <rPr>
        <sz val="11"/>
        <color theme="1"/>
        <rFont val="Aptos Narrow"/>
        <family val="2"/>
        <scheme val="minor"/>
      </rPr>
      <t>, close to the corners.</t>
    </r>
  </si>
  <si>
    <r>
      <t xml:space="preserve">Design lugs as </t>
    </r>
    <r>
      <rPr>
        <b/>
        <sz val="11"/>
        <color theme="1"/>
        <rFont val="Aptos Narrow"/>
        <family val="2"/>
        <scheme val="minor"/>
      </rPr>
      <t>thick plates (e.g., 30–40 mm)</t>
    </r>
    <r>
      <rPr>
        <sz val="11"/>
        <color theme="1"/>
        <rFont val="Aptos Narrow"/>
        <family val="2"/>
        <scheme val="minor"/>
      </rPr>
      <t xml:space="preserve"> with properly sized holes for the shackles.</t>
    </r>
  </si>
  <si>
    <r>
      <t xml:space="preserve">Check against </t>
    </r>
    <r>
      <rPr>
        <b/>
        <sz val="11"/>
        <color theme="1"/>
        <rFont val="Aptos Narrow"/>
        <family val="2"/>
        <scheme val="minor"/>
      </rPr>
      <t>bearing, tear-out, block shear, plate bending, and weld strength</t>
    </r>
    <r>
      <rPr>
        <sz val="11"/>
        <color theme="1"/>
        <rFont val="Aptos Narrow"/>
        <family val="2"/>
        <scheme val="minor"/>
      </rPr>
      <t>.</t>
    </r>
  </si>
  <si>
    <t>Reinforce the supporting beam flanges if required.</t>
  </si>
  <si>
    <r>
      <t xml:space="preserve">Do you want me to make you an </t>
    </r>
    <r>
      <rPr>
        <b/>
        <sz val="11"/>
        <color theme="1"/>
        <rFont val="Aptos Narrow"/>
        <family val="2"/>
        <scheme val="minor"/>
      </rPr>
      <t>Excel sheet template</t>
    </r>
    <r>
      <rPr>
        <sz val="11"/>
        <color theme="1"/>
        <rFont val="Aptos Narrow"/>
        <family val="2"/>
        <scheme val="minor"/>
      </rPr>
      <t xml:space="preserve"> that calculates the lug thickness and hole size automatically (based on rack weight and shackle size)? That way you can plug in the numbers from your frame directly.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</si>
</sst>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 &quot;m/sec&quot;"/>
    <numFmt numFmtId="167" formatCode="0.0000"/>
  </numFmts>
  <fonts count="178" x14ac:knownFonts="1">
    <font>
      <sz val="11"/>
      <color theme="1"/>
      <name val="Aptos Narrow"/>
      <family val="2"/>
      <scheme val="minor"/>
    </font>
    <font>
      <sz val="10"/>
      <name val="Book Antiqua"/>
      <family val="1"/>
    </font>
    <font>
      <b/>
      <sz val="10"/>
      <name val="Book Antiqua"/>
      <family val="1"/>
    </font>
    <font>
      <sz val="10"/>
      <color indexed="12"/>
      <name val="Book Antiqua"/>
      <family val="1"/>
    </font>
    <font>
      <b/>
      <i/>
      <u/>
      <sz val="10"/>
      <name val="Book Antiqua"/>
      <family val="1"/>
    </font>
    <font>
      <sz val="10"/>
      <color rgb="FF0000FF"/>
      <name val="Book Antiqua"/>
      <family val="1"/>
    </font>
    <font>
      <sz val="10"/>
      <name val="Calibri"/>
      <family val="2"/>
    </font>
    <font>
      <sz val="11"/>
      <name val="Book Antiqua"/>
      <family val="1"/>
    </font>
    <font>
      <b/>
      <sz val="10"/>
      <color rgb="FF0000FF"/>
      <name val="Book Antiqua"/>
      <family val="1"/>
    </font>
    <font>
      <b/>
      <i/>
      <sz val="10"/>
      <name val="Book Antiqua"/>
      <family val="1"/>
    </font>
    <font>
      <sz val="10"/>
      <name val="Arial"/>
      <family val="2"/>
    </font>
    <font>
      <b/>
      <sz val="11"/>
      <name val="Arial"/>
      <family val="2"/>
    </font>
    <font>
      <b/>
      <sz val="10"/>
      <name val="Arial"/>
      <family val="2"/>
    </font>
    <font>
      <b/>
      <sz val="10"/>
      <color indexed="8"/>
      <name val="Arial"/>
      <family val="2"/>
    </font>
    <font>
      <sz val="10"/>
      <color indexed="8"/>
      <name val="Arial"/>
      <family val="2"/>
    </font>
    <font>
      <sz val="10"/>
      <color indexed="12"/>
      <name val="Arial"/>
      <family val="2"/>
    </font>
    <font>
      <sz val="10"/>
      <color theme="1"/>
      <name val="Book Antiqua"/>
      <family val="1"/>
    </font>
    <font>
      <i/>
      <sz val="10"/>
      <name val="Book Antiqua"/>
      <family val="1"/>
    </font>
    <font>
      <b/>
      <sz val="11"/>
      <color theme="1"/>
      <name val="Aptos Narrow"/>
      <family val="2"/>
      <scheme val="minor"/>
    </font>
    <font>
      <sz val="12"/>
      <color rgb="FF0000FF"/>
      <name val="Book Antiqua"/>
      <family val="1"/>
    </font>
    <font>
      <sz val="10"/>
      <color theme="0"/>
      <name val="Book Antiqua"/>
      <family val="1"/>
    </font>
    <font>
      <sz val="9"/>
      <name val="Book Antiqua"/>
      <family val="1"/>
    </font>
    <font>
      <sz val="8"/>
      <name val="Book Antiqua"/>
      <family val="1"/>
    </font>
    <font>
      <sz val="9"/>
      <color rgb="FF0000FF"/>
      <name val="Book Antiqua"/>
      <family val="1"/>
    </font>
    <font>
      <sz val="11"/>
      <color rgb="FF0000FF"/>
      <name val="Book Antiqua"/>
      <family val="1"/>
    </font>
    <font>
      <sz val="12"/>
      <name val="Book Antiqua"/>
      <family val="1"/>
    </font>
    <font>
      <b/>
      <i/>
      <sz val="10"/>
      <color rgb="FF0000FF"/>
      <name val="Book Antiqua"/>
      <family val="1"/>
    </font>
    <font>
      <b/>
      <i/>
      <sz val="11"/>
      <color theme="1"/>
      <name val="Aptos Narrow"/>
      <family val="2"/>
      <scheme val="minor"/>
    </font>
    <font>
      <b/>
      <i/>
      <sz val="10"/>
      <color theme="1"/>
      <name val="Book Antiqua"/>
      <family val="1"/>
    </font>
    <font>
      <sz val="11"/>
      <color rgb="FF0000FF"/>
      <name val="Aptos Narrow"/>
      <family val="2"/>
      <scheme val="minor"/>
    </font>
    <font>
      <b/>
      <sz val="11"/>
      <color rgb="FF0000FF"/>
      <name val="Book Antiqua"/>
      <family val="1"/>
    </font>
    <font>
      <b/>
      <sz val="11"/>
      <name val="Book Antiqua"/>
      <family val="1"/>
    </font>
    <font>
      <sz val="9"/>
      <color rgb="FF0000FF"/>
      <name val="Arial"/>
      <family val="2"/>
    </font>
    <font>
      <b/>
      <i/>
      <sz val="11"/>
      <name val="Book Antiqua"/>
      <family val="1"/>
    </font>
    <font>
      <sz val="16"/>
      <color theme="0"/>
      <name val="Book Antiqua"/>
      <family val="1"/>
    </font>
    <font>
      <b/>
      <i/>
      <sz val="12"/>
      <name val="Book Antiqua"/>
      <family val="1"/>
    </font>
    <font>
      <u/>
      <sz val="11"/>
      <color theme="10"/>
      <name val="Aptos Narrow"/>
      <family val="2"/>
      <scheme val="minor"/>
    </font>
    <font>
      <b/>
      <i/>
      <u/>
      <sz val="11"/>
      <name val="Aptos Narrow"/>
      <family val="2"/>
      <scheme val="minor"/>
    </font>
    <font>
      <b/>
      <sz val="11"/>
      <color theme="0"/>
      <name val="Aptos Narrow"/>
      <family val="2"/>
      <scheme val="minor"/>
    </font>
    <font>
      <sz val="11"/>
      <color theme="1"/>
      <name val="Book Antiqua"/>
      <family val="1"/>
    </font>
    <font>
      <i/>
      <sz val="11"/>
      <name val="Book Antiqua"/>
      <family val="1"/>
    </font>
    <font>
      <b/>
      <i/>
      <u/>
      <sz val="11"/>
      <name val="Book Antiqua"/>
      <family val="1"/>
    </font>
    <font>
      <b/>
      <i/>
      <sz val="10"/>
      <color rgb="FFFF0000"/>
      <name val="Book Antiqua"/>
      <family val="1"/>
    </font>
    <font>
      <sz val="10"/>
      <color rgb="FFFF0000"/>
      <name val="Book Antiqua"/>
      <family val="1"/>
    </font>
    <font>
      <b/>
      <i/>
      <sz val="11"/>
      <color theme="1"/>
      <name val="Book Antiqua"/>
      <family val="1"/>
    </font>
    <font>
      <b/>
      <i/>
      <sz val="12"/>
      <color rgb="FF0000FF"/>
      <name val="Book Antiqua"/>
      <family val="1"/>
    </font>
    <font>
      <i/>
      <sz val="11"/>
      <color rgb="FF0000FF"/>
      <name val="Book Antiqua"/>
      <family val="1"/>
    </font>
    <font>
      <b/>
      <i/>
      <sz val="11"/>
      <color rgb="FF0000FF"/>
      <name val="Book Antiqua"/>
      <family val="1"/>
    </font>
    <font>
      <i/>
      <sz val="10"/>
      <color rgb="FFFF0000"/>
      <name val="Book Antiqua"/>
      <family val="1"/>
    </font>
    <font>
      <b/>
      <sz val="10"/>
      <color theme="0"/>
      <name val="Book Antiqua"/>
      <family val="1"/>
    </font>
    <font>
      <i/>
      <sz val="10"/>
      <color theme="1"/>
      <name val="Book Antiqua"/>
      <family val="1"/>
    </font>
    <font>
      <i/>
      <sz val="9"/>
      <name val="Book Antiqua"/>
      <family val="1"/>
    </font>
    <font>
      <sz val="10"/>
      <color rgb="FF3333FF"/>
      <name val="Book Antiqua"/>
      <family val="1"/>
    </font>
    <font>
      <sz val="11"/>
      <color rgb="FF3333FF"/>
      <name val="Book Antiqua"/>
      <family val="1"/>
    </font>
    <font>
      <i/>
      <sz val="11"/>
      <color theme="1"/>
      <name val="Aptos Narrow"/>
      <family val="2"/>
      <scheme val="minor"/>
    </font>
    <font>
      <sz val="9"/>
      <color theme="1"/>
      <name val="Aptos Narrow"/>
      <family val="2"/>
      <scheme val="minor"/>
    </font>
    <font>
      <sz val="9"/>
      <color theme="1"/>
      <name val="Book Antiqua"/>
      <family val="1"/>
    </font>
    <font>
      <b/>
      <sz val="10"/>
      <color rgb="FF3333FF"/>
      <name val="Book Antiqua"/>
      <family val="1"/>
    </font>
    <font>
      <sz val="9"/>
      <color rgb="FF3333FF"/>
      <name val="Book Antiqua"/>
      <family val="1"/>
    </font>
    <font>
      <sz val="12"/>
      <color rgb="FF3333FF"/>
      <name val="Book Antiqua"/>
      <family val="1"/>
    </font>
    <font>
      <b/>
      <sz val="11"/>
      <color rgb="FF3333FF"/>
      <name val="Book Antiqua"/>
      <family val="1"/>
    </font>
    <font>
      <sz val="11"/>
      <color rgb="FF3333FF"/>
      <name val="Aptos Narrow"/>
      <family val="2"/>
      <scheme val="minor"/>
    </font>
    <font>
      <b/>
      <sz val="11"/>
      <color rgb="FF3333FF"/>
      <name val="Aptos Narrow"/>
      <family val="2"/>
      <scheme val="minor"/>
    </font>
    <font>
      <i/>
      <sz val="11"/>
      <color rgb="FF3333FF"/>
      <name val="Book Antiqua"/>
      <family val="1"/>
    </font>
    <font>
      <i/>
      <sz val="10"/>
      <color rgb="FF3333FF"/>
      <name val="Book Antiqua"/>
      <family val="1"/>
    </font>
    <font>
      <b/>
      <i/>
      <sz val="11"/>
      <color rgb="FF3333FF"/>
      <name val="Book Antiqua"/>
      <family val="1"/>
    </font>
    <font>
      <b/>
      <i/>
      <sz val="10"/>
      <color rgb="FF3333FF"/>
      <name val="Book Antiqua"/>
      <family val="1"/>
    </font>
    <font>
      <b/>
      <i/>
      <sz val="12"/>
      <color theme="1"/>
      <name val="Aptos Narrow"/>
      <family val="2"/>
      <scheme val="minor"/>
    </font>
    <font>
      <i/>
      <u/>
      <sz val="11"/>
      <color rgb="FF3333FF"/>
      <name val="Aptos Narrow"/>
      <family val="2"/>
      <scheme val="minor"/>
    </font>
    <font>
      <b/>
      <i/>
      <sz val="12"/>
      <color theme="1"/>
      <name val="Book Antiqua"/>
      <family val="1"/>
    </font>
    <font>
      <sz val="11"/>
      <color theme="1"/>
      <name val="Calibri"/>
      <family val="2"/>
    </font>
    <font>
      <b/>
      <sz val="11"/>
      <color theme="1"/>
      <name val="Calibri"/>
      <family val="2"/>
    </font>
    <font>
      <b/>
      <sz val="12"/>
      <color rgb="FF3333FF"/>
      <name val="Book Antiqua"/>
      <family val="1"/>
    </font>
    <font>
      <sz val="11"/>
      <color theme="1"/>
      <name val="Aptos Narrow"/>
      <family val="2"/>
    </font>
    <font>
      <sz val="12"/>
      <name val="Times New Roman"/>
      <family val="1"/>
    </font>
    <font>
      <sz val="9"/>
      <name val="Arial"/>
      <family val="2"/>
    </font>
    <font>
      <u/>
      <sz val="12"/>
      <color indexed="12"/>
      <name val="Times New Roman"/>
      <family val="1"/>
    </font>
    <font>
      <b/>
      <sz val="12"/>
      <color theme="1"/>
      <name val="Aptos Narrow"/>
      <family val="2"/>
      <scheme val="minor"/>
    </font>
    <font>
      <b/>
      <sz val="18"/>
      <color theme="1"/>
      <name val="Aptos Narrow"/>
      <family val="2"/>
      <scheme val="minor"/>
    </font>
    <font>
      <b/>
      <sz val="14"/>
      <color theme="1"/>
      <name val="Aptos Narrow"/>
      <family val="2"/>
      <scheme val="minor"/>
    </font>
    <font>
      <sz val="16"/>
      <color rgb="FF0000FF"/>
      <name val="Book Antiqua"/>
      <family val="1"/>
    </font>
    <font>
      <b/>
      <sz val="12"/>
      <color rgb="FF0000FF"/>
      <name val="Book Antiqua"/>
      <family val="1"/>
    </font>
    <font>
      <sz val="14"/>
      <name val="Book Antiqua"/>
      <family val="1"/>
    </font>
    <font>
      <b/>
      <sz val="14"/>
      <color rgb="FF0000FF"/>
      <name val="Book Antiqua"/>
      <family val="1"/>
    </font>
    <font>
      <b/>
      <i/>
      <u/>
      <sz val="12"/>
      <name val="Book Antiqua"/>
      <family val="1"/>
    </font>
    <font>
      <i/>
      <sz val="10"/>
      <color rgb="FF0000FF"/>
      <name val="Book Antiqua"/>
      <family val="1"/>
    </font>
    <font>
      <b/>
      <sz val="14"/>
      <color rgb="FF3333FF"/>
      <name val="Book Antiqua"/>
      <family val="1"/>
    </font>
    <font>
      <sz val="14"/>
      <color theme="2" tint="-0.499984740745262"/>
      <name val="Book Antiqua"/>
      <family val="1"/>
    </font>
    <font>
      <sz val="10"/>
      <color theme="2" tint="-0.499984740745262"/>
      <name val="Book Antiqua"/>
      <family val="1"/>
    </font>
    <font>
      <b/>
      <sz val="14"/>
      <color theme="2" tint="-0.499984740745262"/>
      <name val="Book Antiqua"/>
      <family val="1"/>
    </font>
    <font>
      <sz val="11"/>
      <color theme="2" tint="-0.499984740745262"/>
      <name val="Aptos Narrow"/>
      <family val="2"/>
      <scheme val="minor"/>
    </font>
    <font>
      <sz val="11"/>
      <color theme="2" tint="-0.499984740745262"/>
      <name val="Book Antiqua"/>
      <family val="1"/>
    </font>
    <font>
      <i/>
      <sz val="11"/>
      <color theme="7" tint="-0.499984740745262"/>
      <name val="Book Antiqua"/>
      <family val="1"/>
    </font>
    <font>
      <sz val="11"/>
      <color theme="7" tint="-0.499984740745262"/>
      <name val="Book Antiqua"/>
      <family val="1"/>
    </font>
    <font>
      <b/>
      <i/>
      <sz val="12"/>
      <color rgb="FF3333FF"/>
      <name val="Book Antiqua"/>
      <family val="1"/>
    </font>
    <font>
      <i/>
      <sz val="11"/>
      <color theme="1"/>
      <name val="Book Antiqua"/>
      <family val="1"/>
    </font>
    <font>
      <b/>
      <i/>
      <sz val="14"/>
      <color rgb="FF0000FF"/>
      <name val="Book Antiqua"/>
      <family val="1"/>
    </font>
    <font>
      <b/>
      <i/>
      <sz val="16"/>
      <color rgb="FF0000FF"/>
      <name val="Book Antiqua"/>
      <family val="1"/>
    </font>
    <font>
      <b/>
      <i/>
      <sz val="14"/>
      <color rgb="FF3333FF"/>
      <name val="Book Antiqua"/>
      <family val="1"/>
    </font>
    <font>
      <i/>
      <sz val="11"/>
      <color theme="2" tint="-0.749992370372631"/>
      <name val="Book Antiqua"/>
      <family val="1"/>
    </font>
    <font>
      <sz val="10"/>
      <color theme="2" tint="-0.749992370372631"/>
      <name val="Book Antiqua"/>
      <family val="1"/>
    </font>
    <font>
      <i/>
      <sz val="10"/>
      <color theme="2" tint="-0.749992370372631"/>
      <name val="Book Antiqua"/>
      <family val="1"/>
    </font>
    <font>
      <b/>
      <sz val="10"/>
      <color theme="2" tint="-0.749992370372631"/>
      <name val="Book Antiqua"/>
      <family val="1"/>
    </font>
    <font>
      <sz val="11"/>
      <color theme="2" tint="-0.749992370372631"/>
      <name val="Book Antiqua"/>
      <family val="1"/>
    </font>
    <font>
      <sz val="11"/>
      <color theme="2" tint="-0.749992370372631"/>
      <name val="Aptos Narrow"/>
      <family val="2"/>
      <scheme val="minor"/>
    </font>
    <font>
      <b/>
      <i/>
      <sz val="10"/>
      <color theme="2" tint="-0.749992370372631"/>
      <name val="Book Antiqua"/>
      <family val="1"/>
    </font>
    <font>
      <b/>
      <i/>
      <sz val="9"/>
      <color theme="2" tint="-0.749992370372631"/>
      <name val="Book Antiqua"/>
      <family val="1"/>
    </font>
    <font>
      <b/>
      <i/>
      <sz val="9"/>
      <color theme="2" tint="-0.89999084444715716"/>
      <name val="Book Antiqua"/>
      <family val="1"/>
    </font>
    <font>
      <b/>
      <sz val="11"/>
      <color theme="1"/>
      <name val="Book Antiqua"/>
      <family val="1"/>
    </font>
    <font>
      <b/>
      <i/>
      <sz val="14"/>
      <color theme="1"/>
      <name val="Book Antiqua"/>
      <family val="1"/>
    </font>
    <font>
      <sz val="12"/>
      <color theme="1"/>
      <name val="Book Antiqua"/>
      <family val="1"/>
    </font>
    <font>
      <sz val="12"/>
      <color theme="1"/>
      <name val="Aptos Narrow"/>
      <family val="2"/>
      <scheme val="minor"/>
    </font>
    <font>
      <i/>
      <sz val="14"/>
      <name val="Book Antiqua"/>
      <family val="1"/>
    </font>
    <font>
      <i/>
      <sz val="12"/>
      <color theme="1"/>
      <name val="Book Antiqua"/>
      <family val="1"/>
    </font>
    <font>
      <sz val="10"/>
      <color theme="4" tint="0.59999389629810485"/>
      <name val="Book Antiqua"/>
      <family val="1"/>
    </font>
    <font>
      <i/>
      <sz val="11"/>
      <color theme="4" tint="0.59999389629810485"/>
      <name val="Book Antiqua"/>
      <family val="1"/>
    </font>
    <font>
      <i/>
      <sz val="14"/>
      <color theme="1"/>
      <name val="Book Antiqua"/>
      <family val="1"/>
    </font>
    <font>
      <b/>
      <i/>
      <u/>
      <sz val="14"/>
      <color theme="1"/>
      <name val="Book Antiqua"/>
      <family val="1"/>
    </font>
    <font>
      <i/>
      <u/>
      <sz val="14"/>
      <color theme="1"/>
      <name val="Book Antiqua"/>
      <family val="1"/>
    </font>
    <font>
      <b/>
      <i/>
      <sz val="16"/>
      <color theme="1"/>
      <name val="Book Antiqua"/>
      <family val="1"/>
    </font>
    <font>
      <u/>
      <sz val="14"/>
      <color theme="1"/>
      <name val="Book Antiqua"/>
      <family val="1"/>
    </font>
    <font>
      <i/>
      <sz val="12"/>
      <color theme="1"/>
      <name val="Aptos Narrow"/>
      <family val="2"/>
      <scheme val="minor"/>
    </font>
    <font>
      <sz val="11"/>
      <color rgb="FFFF3300"/>
      <name val="Book Antiqua"/>
      <family val="1"/>
    </font>
    <font>
      <b/>
      <i/>
      <sz val="18"/>
      <color theme="1"/>
      <name val="Book Antiqua"/>
      <family val="1"/>
    </font>
    <font>
      <b/>
      <i/>
      <sz val="13.5"/>
      <color theme="1"/>
      <name val="Book Antiqua"/>
      <family val="1"/>
    </font>
    <font>
      <i/>
      <sz val="16"/>
      <color theme="1"/>
      <name val="Book Antiqua"/>
      <family val="1"/>
    </font>
    <font>
      <b/>
      <i/>
      <sz val="12"/>
      <color rgb="FFC00000"/>
      <name val="Book Antiqua"/>
      <family val="1"/>
    </font>
    <font>
      <b/>
      <i/>
      <sz val="12"/>
      <color rgb="FF920000"/>
      <name val="Book Antiqua"/>
      <family val="1"/>
    </font>
    <font>
      <b/>
      <i/>
      <sz val="14"/>
      <color rgb="FF920000"/>
      <name val="Book Antiqua"/>
      <family val="1"/>
    </font>
    <font>
      <sz val="10"/>
      <color theme="0"/>
      <name val="Calibri"/>
      <family val="2"/>
    </font>
    <font>
      <b/>
      <i/>
      <u/>
      <sz val="14"/>
      <name val="Book Antiqua"/>
      <family val="1"/>
    </font>
    <font>
      <b/>
      <i/>
      <sz val="14"/>
      <name val="Book Antiqua"/>
      <family val="1"/>
    </font>
    <font>
      <b/>
      <sz val="11"/>
      <color rgb="FFFF0000"/>
      <name val="Aptos Narrow"/>
      <family val="2"/>
      <scheme val="minor"/>
    </font>
    <font>
      <b/>
      <sz val="18"/>
      <color rgb="FF0000FF"/>
      <name val="Aptos Narrow"/>
      <family val="2"/>
      <scheme val="minor"/>
    </font>
    <font>
      <sz val="18"/>
      <color rgb="FF0000FF"/>
      <name val="Aptos Narrow"/>
      <family val="2"/>
      <scheme val="minor"/>
    </font>
    <font>
      <b/>
      <sz val="16"/>
      <color theme="1"/>
      <name val="Aptos Narrow"/>
      <family val="2"/>
      <scheme val="minor"/>
    </font>
    <font>
      <b/>
      <sz val="14"/>
      <color rgb="FF0000FF"/>
      <name val="Aptos Narrow"/>
      <family val="2"/>
      <scheme val="minor"/>
    </font>
    <font>
      <sz val="14"/>
      <color theme="0"/>
      <name val="Aptos Narrow"/>
      <family val="2"/>
      <scheme val="minor"/>
    </font>
    <font>
      <sz val="14"/>
      <color theme="1"/>
      <name val="Aptos Narrow"/>
      <family val="2"/>
      <scheme val="minor"/>
    </font>
    <font>
      <sz val="14"/>
      <name val="Aptos Narrow"/>
      <family val="2"/>
      <scheme val="minor"/>
    </font>
    <font>
      <b/>
      <i/>
      <sz val="12"/>
      <color rgb="FF800000"/>
      <name val="Book Antiqua"/>
      <family val="1"/>
    </font>
    <font>
      <sz val="12"/>
      <color theme="1"/>
      <name val="Aptos"/>
      <family val="2"/>
    </font>
    <font>
      <sz val="11"/>
      <color theme="1"/>
      <name val="Aptos"/>
      <family val="2"/>
    </font>
    <font>
      <b/>
      <i/>
      <sz val="12"/>
      <color rgb="FFA50021"/>
      <name val="Book Antiqua"/>
      <family val="1"/>
    </font>
    <font>
      <b/>
      <i/>
      <sz val="11"/>
      <color rgb="FF920000"/>
      <name val="Book Antiqua"/>
      <family val="1"/>
    </font>
    <font>
      <b/>
      <sz val="24"/>
      <color theme="1"/>
      <name val="Aptos Narrow"/>
      <family val="2"/>
      <scheme val="minor"/>
    </font>
    <font>
      <b/>
      <sz val="12"/>
      <color rgb="FF3366FF"/>
      <name val="Aptos Narrow"/>
      <family val="2"/>
      <scheme val="minor"/>
    </font>
    <font>
      <sz val="11"/>
      <color rgb="FF3366FF"/>
      <name val="Aptos Narrow"/>
      <family val="2"/>
      <scheme val="minor"/>
    </font>
    <font>
      <b/>
      <sz val="11"/>
      <color rgb="FF3366FF"/>
      <name val="Aptos Narrow"/>
      <family val="2"/>
      <scheme val="minor"/>
    </font>
    <font>
      <b/>
      <sz val="13.5"/>
      <color theme="1"/>
      <name val="Aptos Narrow"/>
      <family val="2"/>
      <scheme val="minor"/>
    </font>
    <font>
      <sz val="10"/>
      <color theme="4" tint="-0.499984740745262"/>
      <name val="Book Antiqua"/>
      <family val="1"/>
    </font>
    <font>
      <sz val="11"/>
      <color theme="4" tint="-0.499984740745262"/>
      <name val="Aptos Narrow"/>
      <family val="2"/>
      <scheme val="minor"/>
    </font>
    <font>
      <b/>
      <sz val="11"/>
      <color theme="3" tint="0.499984740745262"/>
      <name val="Book Antiqua"/>
      <family val="1"/>
    </font>
    <font>
      <i/>
      <sz val="9"/>
      <color theme="2" tint="-0.749992370372631"/>
      <name val="Book Antiqua"/>
      <family val="1"/>
    </font>
    <font>
      <b/>
      <sz val="10"/>
      <color theme="1"/>
      <name val="Book Antiqua"/>
      <family val="1"/>
    </font>
    <font>
      <i/>
      <sz val="11"/>
      <color theme="10"/>
      <name val="Aptos Narrow"/>
      <family val="2"/>
      <scheme val="minor"/>
    </font>
    <font>
      <sz val="10"/>
      <color rgb="FF920000"/>
      <name val="Book Antiqua"/>
      <family val="1"/>
    </font>
    <font>
      <sz val="9"/>
      <color theme="2" tint="-0.749992370372631"/>
      <name val="Book Antiqua"/>
      <family val="1"/>
    </font>
    <font>
      <i/>
      <sz val="8"/>
      <color theme="2" tint="-0.749992370372631"/>
      <name val="Book Antiqua"/>
      <family val="1"/>
    </font>
    <font>
      <i/>
      <sz val="12"/>
      <name val="Book Antiqua"/>
      <family val="1"/>
    </font>
    <font>
      <b/>
      <sz val="10"/>
      <color theme="0" tint="-0.249977111117893"/>
      <name val="Book Antiqua"/>
      <family val="1"/>
    </font>
    <font>
      <sz val="10"/>
      <color theme="0" tint="-0.249977111117893"/>
      <name val="Book Antiqua"/>
      <family val="1"/>
    </font>
    <font>
      <b/>
      <sz val="11"/>
      <color rgb="FF0000FF"/>
      <name val="Aptos Narrow"/>
      <family val="2"/>
      <scheme val="minor"/>
    </font>
    <font>
      <sz val="11"/>
      <color theme="0"/>
      <name val="Aptos Narrow"/>
      <family val="2"/>
      <scheme val="minor"/>
    </font>
    <font>
      <b/>
      <sz val="16"/>
      <color theme="3" tint="0.89999084444715716"/>
      <name val="Aptos Narrow"/>
      <family val="2"/>
      <scheme val="minor"/>
    </font>
    <font>
      <sz val="14"/>
      <color rgb="FF0000FF"/>
      <name val="Book Antiqua"/>
      <family val="1"/>
    </font>
    <font>
      <b/>
      <i/>
      <sz val="9"/>
      <color rgb="FF0000FF"/>
      <name val="Book Antiqua"/>
      <family val="1"/>
    </font>
    <font>
      <b/>
      <sz val="11"/>
      <color theme="0"/>
      <name val="Book Antiqua"/>
      <family val="1"/>
    </font>
    <font>
      <b/>
      <i/>
      <sz val="11"/>
      <color theme="2" tint="-0.749992370372631"/>
      <name val="Book Antiqua"/>
      <family val="1"/>
    </font>
    <font>
      <b/>
      <i/>
      <vertAlign val="subscript"/>
      <sz val="14"/>
      <color rgb="FF0000FF"/>
      <name val="Book Antiqua"/>
      <family val="1"/>
    </font>
    <font>
      <b/>
      <sz val="9"/>
      <color rgb="FF0000FF"/>
      <name val="Book Antiqua"/>
      <family val="1"/>
    </font>
    <font>
      <b/>
      <sz val="8"/>
      <color rgb="FF0000FF"/>
      <name val="Book Antiqua"/>
      <family val="1"/>
    </font>
    <font>
      <sz val="10"/>
      <color theme="2"/>
      <name val="Book Antiqua"/>
      <family val="1"/>
    </font>
    <font>
      <b/>
      <sz val="12"/>
      <color theme="2"/>
      <name val="Book Antiqua"/>
      <family val="1"/>
    </font>
    <font>
      <b/>
      <sz val="11"/>
      <color theme="2"/>
      <name val="Book Antiqua"/>
      <family val="1"/>
    </font>
    <font>
      <b/>
      <i/>
      <sz val="8"/>
      <name val="Book Antiqua"/>
      <family val="1"/>
    </font>
    <font>
      <b/>
      <i/>
      <vertAlign val="subscript"/>
      <sz val="12"/>
      <color rgb="FF0000FF"/>
      <name val="Book Antiqua"/>
      <family val="1"/>
    </font>
    <font>
      <b/>
      <sz val="7.5"/>
      <color theme="1"/>
      <name val="Aptos Narrow"/>
      <family val="2"/>
      <scheme val="minor"/>
    </font>
  </fonts>
  <fills count="15">
    <fill>
      <patternFill patternType="none"/>
    </fill>
    <fill>
      <patternFill patternType="gray125"/>
    </fill>
    <fill>
      <patternFill patternType="solid">
        <fgColor rgb="FFFFFF00"/>
        <bgColor indexed="64"/>
      </patternFill>
    </fill>
    <fill>
      <patternFill patternType="solid">
        <fgColor indexed="41"/>
        <bgColor indexed="64"/>
      </patternFill>
    </fill>
    <fill>
      <patternFill patternType="solid">
        <fgColor indexed="9"/>
        <bgColor indexed="64"/>
      </patternFill>
    </fill>
    <fill>
      <patternFill patternType="solid">
        <fgColor theme="0"/>
        <bgColor indexed="64"/>
      </patternFill>
    </fill>
    <fill>
      <patternFill patternType="solid">
        <fgColor rgb="FFFFFFD9"/>
        <bgColor indexed="64"/>
      </patternFill>
    </fill>
    <fill>
      <patternFill patternType="solid">
        <fgColor rgb="FFFFFFFF"/>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0"/>
        <bgColor theme="4"/>
      </patternFill>
    </fill>
    <fill>
      <patternFill patternType="solid">
        <fgColor theme="0"/>
        <bgColor theme="4" tint="0.79998168889431442"/>
      </patternFill>
    </fill>
    <fill>
      <patternFill patternType="solid">
        <fgColor rgb="FFDCE6F1"/>
        <bgColor indexed="64"/>
      </patternFill>
    </fill>
    <fill>
      <patternFill patternType="solid">
        <fgColor theme="0" tint="-4.9989318521683403E-2"/>
        <bgColor indexed="64"/>
      </patternFill>
    </fill>
  </fills>
  <borders count="219">
    <border>
      <left/>
      <right/>
      <top/>
      <bottom/>
      <diagonal/>
    </border>
    <border>
      <left style="thin">
        <color indexed="64"/>
      </left>
      <right style="thin">
        <color indexed="64"/>
      </right>
      <top/>
      <bottom style="thin">
        <color indexed="22"/>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thin">
        <color indexed="64"/>
      </right>
      <top/>
      <bottom style="thin">
        <color indexed="22"/>
      </bottom>
      <diagonal/>
    </border>
    <border>
      <left style="thin">
        <color indexed="64"/>
      </left>
      <right style="thin">
        <color indexed="64"/>
      </right>
      <top/>
      <bottom style="thin">
        <color indexed="64"/>
      </bottom>
      <diagonal/>
    </border>
    <border>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22"/>
      </left>
      <right style="thin">
        <color indexed="64"/>
      </right>
      <top/>
      <bottom style="thin">
        <color indexed="64"/>
      </bottom>
      <diagonal/>
    </border>
    <border>
      <left style="thin">
        <color rgb="FF0000FF"/>
      </left>
      <right style="thin">
        <color rgb="FF0000FF"/>
      </right>
      <top style="thin">
        <color rgb="FF0000FF"/>
      </top>
      <bottom style="thin">
        <color rgb="FF0000FF"/>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top/>
      <bottom style="medium">
        <color rgb="FF0000FF"/>
      </bottom>
      <diagonal/>
    </border>
    <border>
      <left style="medium">
        <color rgb="FF0000FF"/>
      </left>
      <right/>
      <top style="medium">
        <color rgb="FF0000FF"/>
      </top>
      <bottom style="medium">
        <color rgb="FF0000FF"/>
      </bottom>
      <diagonal/>
    </border>
    <border>
      <left/>
      <right/>
      <top style="medium">
        <color rgb="FF0000FF"/>
      </top>
      <bottom style="medium">
        <color rgb="FF0000FF"/>
      </bottom>
      <diagonal/>
    </border>
    <border>
      <left/>
      <right style="medium">
        <color rgb="FF0000FF"/>
      </right>
      <top style="medium">
        <color rgb="FF0000FF"/>
      </top>
      <bottom style="medium">
        <color rgb="FF0000FF"/>
      </bottom>
      <diagonal/>
    </border>
    <border>
      <left style="medium">
        <color theme="0"/>
      </left>
      <right style="medium">
        <color theme="0"/>
      </right>
      <top style="medium">
        <color theme="0"/>
      </top>
      <bottom style="medium">
        <color theme="0"/>
      </bottom>
      <diagonal/>
    </border>
    <border>
      <left style="medium">
        <color rgb="FF0000FF"/>
      </left>
      <right style="medium">
        <color rgb="FF0000FF"/>
      </right>
      <top style="medium">
        <color rgb="FF0000FF"/>
      </top>
      <bottom style="medium">
        <color rgb="FF0000FF"/>
      </bottom>
      <diagonal/>
    </border>
    <border>
      <left style="medium">
        <color rgb="FF0000FF"/>
      </left>
      <right style="medium">
        <color rgb="FF0000FF"/>
      </right>
      <top style="medium">
        <color rgb="FF0000FF"/>
      </top>
      <bottom/>
      <diagonal/>
    </border>
    <border>
      <left style="medium">
        <color rgb="FF0000FF"/>
      </left>
      <right style="medium">
        <color rgb="FF0000FF"/>
      </right>
      <top/>
      <bottom style="medium">
        <color rgb="FF0000FF"/>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medium">
        <color rgb="FF0000FF"/>
      </left>
      <right style="thin">
        <color theme="0"/>
      </right>
      <top style="medium">
        <color rgb="FF0000FF"/>
      </top>
      <bottom style="medium">
        <color rgb="FF0000FF"/>
      </bottom>
      <diagonal/>
    </border>
    <border>
      <left style="medium">
        <color rgb="FF3333FF"/>
      </left>
      <right style="medium">
        <color rgb="FF3333FF"/>
      </right>
      <top style="medium">
        <color rgb="FF3333FF"/>
      </top>
      <bottom style="medium">
        <color rgb="FF3333FF"/>
      </bottom>
      <diagonal/>
    </border>
    <border>
      <left style="medium">
        <color rgb="FF3333FF"/>
      </left>
      <right/>
      <top style="medium">
        <color rgb="FF3333FF"/>
      </top>
      <bottom style="medium">
        <color rgb="FF3333FF"/>
      </bottom>
      <diagonal/>
    </border>
    <border>
      <left/>
      <right style="medium">
        <color rgb="FF3333FF"/>
      </right>
      <top style="medium">
        <color rgb="FF3333FF"/>
      </top>
      <bottom style="medium">
        <color rgb="FF3333FF"/>
      </bottom>
      <diagonal/>
    </border>
    <border>
      <left/>
      <right style="medium">
        <color rgb="FF3333FF"/>
      </right>
      <top/>
      <bottom/>
      <diagonal/>
    </border>
    <border>
      <left style="medium">
        <color rgb="FF3333FF"/>
      </left>
      <right style="thin">
        <color rgb="FF0000FF"/>
      </right>
      <top style="medium">
        <color rgb="FF3333FF"/>
      </top>
      <bottom style="medium">
        <color rgb="FF3333FF"/>
      </bottom>
      <diagonal/>
    </border>
    <border>
      <left style="medium">
        <color rgb="FF3333FF"/>
      </left>
      <right style="medium">
        <color rgb="FF3333FF"/>
      </right>
      <top/>
      <bottom style="medium">
        <color rgb="FF3333FF"/>
      </bottom>
      <diagonal/>
    </border>
    <border>
      <left style="medium">
        <color rgb="FF3333FF"/>
      </left>
      <right style="medium">
        <color rgb="FF3333FF"/>
      </right>
      <top style="medium">
        <color rgb="FF3333FF"/>
      </top>
      <bottom/>
      <diagonal/>
    </border>
    <border>
      <left/>
      <right/>
      <top style="medium">
        <color rgb="FF3333FF"/>
      </top>
      <bottom style="medium">
        <color rgb="FF3333FF"/>
      </bottom>
      <diagonal/>
    </border>
    <border>
      <left style="thin">
        <color theme="0"/>
      </left>
      <right style="medium">
        <color rgb="FF3333FF"/>
      </right>
      <top style="medium">
        <color rgb="FF3333FF"/>
      </top>
      <bottom style="medium">
        <color rgb="FF3333FF"/>
      </bottom>
      <diagonal/>
    </border>
    <border>
      <left style="medium">
        <color rgb="FF3333FF"/>
      </left>
      <right style="medium">
        <color rgb="FF3333FF"/>
      </right>
      <top style="medium">
        <color rgb="FF0000FF"/>
      </top>
      <bottom style="medium">
        <color rgb="FF3333FF"/>
      </bottom>
      <diagonal/>
    </border>
    <border>
      <left style="medium">
        <color rgb="FF3333FF"/>
      </left>
      <right/>
      <top style="medium">
        <color rgb="FF3333FF"/>
      </top>
      <bottom/>
      <diagonal/>
    </border>
    <border>
      <left/>
      <right style="medium">
        <color rgb="FF3333FF"/>
      </right>
      <top style="medium">
        <color rgb="FF3333FF"/>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medium">
        <color rgb="FF0000FF"/>
      </right>
      <top/>
      <bottom style="medium">
        <color rgb="FF0000FF"/>
      </bottom>
      <diagonal/>
    </border>
    <border>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style="medium">
        <color rgb="FF0000FF"/>
      </left>
      <right/>
      <top/>
      <bottom/>
      <diagonal/>
    </border>
    <border>
      <left style="medium">
        <color rgb="FF0000FF"/>
      </left>
      <right/>
      <top style="medium">
        <color rgb="FF0000FF"/>
      </top>
      <bottom/>
      <diagonal/>
    </border>
    <border>
      <left/>
      <right style="medium">
        <color rgb="FF0000FF"/>
      </right>
      <top style="medium">
        <color rgb="FF0000FF"/>
      </top>
      <bottom/>
      <diagonal/>
    </border>
    <border>
      <left style="medium">
        <color rgb="FF0000FF"/>
      </left>
      <right/>
      <top/>
      <bottom style="medium">
        <color rgb="FF0000FF"/>
      </bottom>
      <diagonal/>
    </border>
    <border>
      <left style="thin">
        <color theme="2" tint="-9.9978637043366805E-2"/>
      </left>
      <right/>
      <top/>
      <bottom/>
      <diagonal/>
    </border>
    <border>
      <left/>
      <right/>
      <top style="medium">
        <color rgb="FF0000FF"/>
      </top>
      <bottom/>
      <diagonal/>
    </border>
    <border>
      <left style="medium">
        <color rgb="FF0000FF"/>
      </left>
      <right style="thin">
        <color theme="1"/>
      </right>
      <top style="medium">
        <color rgb="FF0000FF"/>
      </top>
      <bottom style="medium">
        <color rgb="FF0000FF"/>
      </bottom>
      <diagonal/>
    </border>
    <border>
      <left style="thin">
        <color theme="1"/>
      </left>
      <right style="medium">
        <color rgb="FF0000FF"/>
      </right>
      <top style="medium">
        <color rgb="FF0000FF"/>
      </top>
      <bottom style="medium">
        <color rgb="FF0000FF"/>
      </bottom>
      <diagonal/>
    </border>
    <border>
      <left/>
      <right style="medium">
        <color rgb="FF0000FF"/>
      </right>
      <top/>
      <bottom/>
      <diagonal/>
    </border>
    <border>
      <left style="medium">
        <color rgb="FF3333FF"/>
      </left>
      <right/>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2" tint="-9.9978637043366805E-2"/>
      </left>
      <right style="thin">
        <color theme="2" tint="-9.9978637043366805E-2"/>
      </right>
      <top style="thin">
        <color theme="2" tint="-9.9978637043366805E-2"/>
      </top>
      <bottom/>
      <diagonal/>
    </border>
    <border>
      <left/>
      <right style="medium">
        <color rgb="FF3333FF"/>
      </right>
      <top/>
      <bottom style="medium">
        <color rgb="FF3333FF"/>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right/>
      <top style="medium">
        <color rgb="FF3333FF"/>
      </top>
      <bottom/>
      <diagonal/>
    </border>
    <border>
      <left style="medium">
        <color rgb="FF0000FF"/>
      </left>
      <right style="medium">
        <color rgb="FF0000FF"/>
      </right>
      <top style="medium">
        <color rgb="FF0000FF"/>
      </top>
      <bottom style="medium">
        <color rgb="FF3333FF"/>
      </bottom>
      <diagonal/>
    </border>
    <border>
      <left style="medium">
        <color rgb="FF0000FF"/>
      </left>
      <right style="medium">
        <color rgb="FF0000FF"/>
      </right>
      <top style="medium">
        <color rgb="FF3333FF"/>
      </top>
      <bottom style="medium">
        <color rgb="FF0000FF"/>
      </bottom>
      <diagonal/>
    </border>
    <border>
      <left style="thin">
        <color theme="2" tint="-9.9978637043366805E-2"/>
      </left>
      <right style="thin">
        <color theme="2" tint="-9.9978637043366805E-2"/>
      </right>
      <top/>
      <bottom/>
      <diagonal/>
    </border>
    <border>
      <left/>
      <right style="thin">
        <color theme="0" tint="-0.14999847407452621"/>
      </right>
      <top/>
      <bottom/>
      <diagonal/>
    </border>
    <border>
      <left style="medium">
        <color indexed="64"/>
      </left>
      <right/>
      <top style="medium">
        <color indexed="64"/>
      </top>
      <bottom style="medium">
        <color indexed="64"/>
      </bottom>
      <diagonal/>
    </border>
    <border>
      <left style="medium">
        <color theme="1"/>
      </left>
      <right/>
      <top style="medium">
        <color theme="1"/>
      </top>
      <bottom style="medium">
        <color theme="1"/>
      </bottom>
      <diagonal/>
    </border>
    <border>
      <left style="medium">
        <color rgb="FF3333FF"/>
      </left>
      <right/>
      <top/>
      <bottom style="medium">
        <color rgb="FF3333FF"/>
      </bottom>
      <diagonal/>
    </border>
    <border>
      <left/>
      <right/>
      <top/>
      <bottom style="medium">
        <color rgb="FF3333FF"/>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style="medium">
        <color theme="1"/>
      </right>
      <top/>
      <bottom style="medium">
        <color theme="1"/>
      </bottom>
      <diagonal/>
    </border>
    <border>
      <left/>
      <right/>
      <top/>
      <bottom style="thin">
        <color theme="1"/>
      </bottom>
      <diagonal/>
    </border>
    <border>
      <left/>
      <right style="thin">
        <color theme="2" tint="-9.9978637043366805E-2"/>
      </right>
      <top style="thin">
        <color theme="2" tint="-9.9978637043366805E-2"/>
      </top>
      <bottom/>
      <diagonal/>
    </border>
    <border>
      <left/>
      <right style="thin">
        <color theme="1" tint="0.249977111117893"/>
      </right>
      <top/>
      <bottom style="thin">
        <color theme="1" tint="0.249977111117893"/>
      </bottom>
      <diagonal/>
    </border>
    <border>
      <left style="thin">
        <color theme="1" tint="0.249977111117893"/>
      </left>
      <right/>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2" tint="-9.9978637043366805E-2"/>
      </left>
      <right/>
      <top/>
      <bottom style="thin">
        <color theme="2" tint="-9.9978637043366805E-2"/>
      </bottom>
      <diagonal/>
    </border>
    <border>
      <left/>
      <right/>
      <top style="thin">
        <color theme="2"/>
      </top>
      <bottom/>
      <diagonal/>
    </border>
    <border>
      <left/>
      <right style="thin">
        <color theme="2"/>
      </right>
      <top style="thin">
        <color theme="2"/>
      </top>
      <bottom/>
      <diagonal/>
    </border>
    <border>
      <left/>
      <right style="thin">
        <color theme="2"/>
      </right>
      <top/>
      <bottom/>
      <diagonal/>
    </border>
    <border>
      <left/>
      <right style="thin">
        <color theme="2"/>
      </right>
      <top style="thin">
        <color theme="2"/>
      </top>
      <bottom style="thin">
        <color theme="2"/>
      </bottom>
      <diagonal/>
    </border>
    <border>
      <left style="thin">
        <color theme="2"/>
      </left>
      <right style="thin">
        <color theme="2"/>
      </right>
      <top style="thin">
        <color theme="2"/>
      </top>
      <bottom style="thin">
        <color theme="2"/>
      </bottom>
      <diagonal/>
    </border>
    <border>
      <left style="thin">
        <color theme="2"/>
      </left>
      <right style="thin">
        <color theme="2"/>
      </right>
      <top/>
      <bottom style="thin">
        <color theme="2"/>
      </bottom>
      <diagonal/>
    </border>
    <border>
      <left style="thin">
        <color theme="1" tint="0.249977111117893"/>
      </left>
      <right/>
      <top style="thin">
        <color theme="1" tint="0.249977111117893"/>
      </top>
      <bottom/>
      <diagonal/>
    </border>
    <border>
      <left style="thin">
        <color theme="1"/>
      </left>
      <right style="thin">
        <color theme="1"/>
      </right>
      <top style="medium">
        <color theme="1"/>
      </top>
      <bottom/>
      <diagonal/>
    </border>
    <border>
      <left style="thin">
        <color theme="1"/>
      </left>
      <right style="medium">
        <color theme="1"/>
      </right>
      <top style="medium">
        <color theme="1"/>
      </top>
      <bottom/>
      <diagonal/>
    </border>
    <border>
      <left style="medium">
        <color theme="1"/>
      </left>
      <right style="thin">
        <color theme="1"/>
      </right>
      <top style="medium">
        <color theme="1"/>
      </top>
      <bottom/>
      <diagonal/>
    </border>
    <border>
      <left style="thin">
        <color theme="1"/>
      </left>
      <right/>
      <top/>
      <bottom style="thin">
        <color theme="2"/>
      </bottom>
      <diagonal/>
    </border>
    <border>
      <left style="thin">
        <color theme="2"/>
      </left>
      <right/>
      <top/>
      <bottom/>
      <diagonal/>
    </border>
    <border>
      <left/>
      <right/>
      <top/>
      <bottom style="thin">
        <color theme="2"/>
      </bottom>
      <diagonal/>
    </border>
    <border>
      <left/>
      <right style="thin">
        <color theme="2"/>
      </right>
      <top/>
      <bottom style="thin">
        <color theme="2"/>
      </bottom>
      <diagonal/>
    </border>
    <border>
      <left style="thin">
        <color theme="2"/>
      </left>
      <right/>
      <top/>
      <bottom style="thin">
        <color theme="2"/>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thin">
        <color indexed="64"/>
      </left>
      <right style="thin">
        <color indexed="64"/>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style="thin">
        <color indexed="64"/>
      </right>
      <top style="thin">
        <color indexed="64"/>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64"/>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64"/>
      </right>
      <top style="thin">
        <color indexed="22"/>
      </top>
      <bottom/>
      <diagonal/>
    </border>
    <border>
      <left style="thin">
        <color indexed="64"/>
      </left>
      <right style="thin">
        <color indexed="64"/>
      </right>
      <top style="thin">
        <color indexed="22"/>
      </top>
      <bottom style="thin">
        <color indexed="64"/>
      </bottom>
      <diagonal/>
    </border>
    <border>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style="thin">
        <color indexed="64"/>
      </left>
      <right style="thin">
        <color indexed="64"/>
      </right>
      <top style="thin">
        <color indexed="64"/>
      </top>
      <bottom style="thin">
        <color indexed="22"/>
      </bottom>
      <diagonal/>
    </border>
    <border>
      <left/>
      <right style="thin">
        <color indexed="22"/>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22"/>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22"/>
      </left>
      <right style="thin">
        <color indexed="64"/>
      </right>
      <top style="thin">
        <color indexed="22"/>
      </top>
      <bottom style="thin">
        <color indexed="22"/>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rgb="FF3366FF"/>
      </left>
      <right style="medium">
        <color rgb="FF3366FF"/>
      </right>
      <top style="thin">
        <color rgb="FF3366FF"/>
      </top>
      <bottom style="medium">
        <color rgb="FF3366FF"/>
      </bottom>
      <diagonal/>
    </border>
    <border>
      <left style="medium">
        <color rgb="FF3366FF"/>
      </left>
      <right style="thin">
        <color rgb="FF3366FF"/>
      </right>
      <top style="thin">
        <color rgb="FF3366FF"/>
      </top>
      <bottom style="medium">
        <color rgb="FF3366FF"/>
      </bottom>
      <diagonal/>
    </border>
    <border>
      <left style="thin">
        <color rgb="FF3366FF"/>
      </left>
      <right style="medium">
        <color rgb="FF3366FF"/>
      </right>
      <top style="thin">
        <color rgb="FF3366FF"/>
      </top>
      <bottom style="thin">
        <color rgb="FF3366FF"/>
      </bottom>
      <diagonal/>
    </border>
    <border>
      <left style="medium">
        <color rgb="FF3366FF"/>
      </left>
      <right style="thin">
        <color rgb="FF3366FF"/>
      </right>
      <top style="thin">
        <color rgb="FF3366FF"/>
      </top>
      <bottom style="thin">
        <color rgb="FF3366FF"/>
      </bottom>
      <diagonal/>
    </border>
    <border>
      <left/>
      <right style="medium">
        <color rgb="FF3366FF"/>
      </right>
      <top/>
      <bottom style="medium">
        <color rgb="FF3366FF"/>
      </bottom>
      <diagonal/>
    </border>
    <border>
      <left/>
      <right style="medium">
        <color rgb="FF3366FF"/>
      </right>
      <top style="medium">
        <color rgb="FF3366FF"/>
      </top>
      <bottom/>
      <diagonal/>
    </border>
    <border>
      <left style="thin">
        <color rgb="FF3366FF"/>
      </left>
      <right style="medium">
        <color rgb="FF3366FF"/>
      </right>
      <top style="medium">
        <color rgb="FF3366FF"/>
      </top>
      <bottom style="thin">
        <color rgb="FF3366FF"/>
      </bottom>
      <diagonal/>
    </border>
    <border>
      <left style="medium">
        <color rgb="FF3366FF"/>
      </left>
      <right style="thin">
        <color rgb="FF3366FF"/>
      </right>
      <top style="medium">
        <color rgb="FF3366FF"/>
      </top>
      <bottom style="thin">
        <color rgb="FF3366FF"/>
      </bottom>
      <diagonal/>
    </border>
    <border>
      <left style="medium">
        <color rgb="FF3366FF"/>
      </left>
      <right/>
      <top style="medium">
        <color rgb="FF3366FF"/>
      </top>
      <bottom style="medium">
        <color rgb="FF3366FF"/>
      </bottom>
      <diagonal/>
    </border>
    <border>
      <left/>
      <right style="medium">
        <color rgb="FF3366FF"/>
      </right>
      <top style="medium">
        <color rgb="FF3366FF"/>
      </top>
      <bottom style="medium">
        <color rgb="FF3366FF"/>
      </bottom>
      <diagonal/>
    </border>
    <border>
      <left/>
      <right/>
      <top style="medium">
        <color rgb="FF3366FF"/>
      </top>
      <bottom style="medium">
        <color rgb="FF3366FF"/>
      </bottom>
      <diagonal/>
    </border>
    <border>
      <left style="medium">
        <color rgb="FF3333FF"/>
      </left>
      <right style="medium">
        <color rgb="FF3366FF"/>
      </right>
      <top style="medium">
        <color rgb="FF3333FF"/>
      </top>
      <bottom style="medium">
        <color rgb="FF3366FF"/>
      </bottom>
      <diagonal/>
    </border>
    <border>
      <left style="medium">
        <color rgb="FF3366FF"/>
      </left>
      <right style="medium">
        <color rgb="FF3366FF"/>
      </right>
      <top style="medium">
        <color rgb="FF3333FF"/>
      </top>
      <bottom style="medium">
        <color rgb="FF3366FF"/>
      </bottom>
      <diagonal/>
    </border>
    <border>
      <left style="medium">
        <color rgb="FF3366FF"/>
      </left>
      <right style="medium">
        <color rgb="FF3333FF"/>
      </right>
      <top style="medium">
        <color rgb="FF3333FF"/>
      </top>
      <bottom style="medium">
        <color rgb="FF3366FF"/>
      </bottom>
      <diagonal/>
    </border>
    <border>
      <left style="medium">
        <color rgb="FF3333FF"/>
      </left>
      <right style="medium">
        <color rgb="FF3366FF"/>
      </right>
      <top style="medium">
        <color rgb="FF3366FF"/>
      </top>
      <bottom style="medium">
        <color rgb="FF3333FF"/>
      </bottom>
      <diagonal/>
    </border>
    <border>
      <left style="medium">
        <color rgb="FF3366FF"/>
      </left>
      <right style="medium">
        <color rgb="FF3366FF"/>
      </right>
      <top style="medium">
        <color rgb="FF3366FF"/>
      </top>
      <bottom style="medium">
        <color rgb="FF3333FF"/>
      </bottom>
      <diagonal/>
    </border>
    <border>
      <left style="medium">
        <color rgb="FF3366FF"/>
      </left>
      <right style="medium">
        <color rgb="FF3333FF"/>
      </right>
      <top style="medium">
        <color rgb="FF3366FF"/>
      </top>
      <bottom style="medium">
        <color rgb="FF3333FF"/>
      </bottom>
      <diagonal/>
    </border>
    <border>
      <left style="thin">
        <color indexed="22"/>
      </left>
      <right style="thin">
        <color indexed="22"/>
      </right>
      <top style="thin">
        <color indexed="22"/>
      </top>
      <bottom/>
      <diagonal/>
    </border>
    <border>
      <left style="thin">
        <color indexed="22"/>
      </left>
      <right style="thin">
        <color indexed="64"/>
      </right>
      <top style="thin">
        <color indexed="22"/>
      </top>
      <bottom/>
      <diagonal/>
    </border>
    <border>
      <left style="medium">
        <color rgb="FF3333FF"/>
      </left>
      <right style="medium">
        <color rgb="FF3333FF"/>
      </right>
      <top style="medium">
        <color rgb="FF3333FF"/>
      </top>
      <bottom style="medium">
        <color rgb="FF0000FF"/>
      </bottom>
      <diagonal/>
    </border>
    <border>
      <left/>
      <right/>
      <top/>
      <bottom style="thick">
        <color rgb="FF3333FF"/>
      </bottom>
      <diagonal/>
    </border>
    <border>
      <left/>
      <right style="thin">
        <color theme="2" tint="-9.9978637043366805E-2"/>
      </right>
      <top/>
      <bottom style="thin">
        <color theme="2" tint="-9.9978637043366805E-2"/>
      </bottom>
      <diagonal/>
    </border>
    <border>
      <left/>
      <right/>
      <top style="thin">
        <color theme="1"/>
      </top>
      <bottom style="thin">
        <color theme="1"/>
      </bottom>
      <diagonal/>
    </border>
    <border>
      <left/>
      <right style="thin">
        <color theme="1"/>
      </right>
      <top style="thin">
        <color theme="1"/>
      </top>
      <bottom style="thin">
        <color theme="1"/>
      </bottom>
      <diagonal/>
    </border>
    <border>
      <left/>
      <right style="thin">
        <color rgb="FF0000FF"/>
      </right>
      <top style="medium">
        <color rgb="FF3333FF"/>
      </top>
      <bottom style="medium">
        <color rgb="FF3333FF"/>
      </bottom>
      <diagonal/>
    </border>
    <border>
      <left style="medium">
        <color rgb="FF3366FF"/>
      </left>
      <right style="medium">
        <color rgb="FF3366FF"/>
      </right>
      <top style="medium">
        <color rgb="FF3366FF"/>
      </top>
      <bottom/>
      <diagonal/>
    </border>
    <border>
      <left style="medium">
        <color rgb="FF3366FF"/>
      </left>
      <right style="medium">
        <color rgb="FF3366FF"/>
      </right>
      <top/>
      <bottom style="medium">
        <color rgb="FF3366FF"/>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theme="3" tint="0.749992370372631"/>
      </left>
      <right style="thick">
        <color theme="3" tint="0.749992370372631"/>
      </right>
      <top style="thick">
        <color theme="3" tint="0.749992370372631"/>
      </top>
      <bottom style="thick">
        <color theme="3" tint="0.749992370372631"/>
      </bottom>
      <diagonal/>
    </border>
    <border>
      <left style="medium">
        <color rgb="FF0000FF"/>
      </left>
      <right style="medium">
        <color rgb="FF3333FF"/>
      </right>
      <top style="medium">
        <color rgb="FF0000FF"/>
      </top>
      <bottom style="medium">
        <color rgb="FF0000FF"/>
      </bottom>
      <diagonal/>
    </border>
    <border>
      <left style="medium">
        <color rgb="FF0000FF"/>
      </left>
      <right style="thick">
        <color theme="3" tint="0.749992370372631"/>
      </right>
      <top style="medium">
        <color rgb="FF0000FF"/>
      </top>
      <bottom style="thick">
        <color theme="3" tint="0.749992370372631"/>
      </bottom>
      <diagonal/>
    </border>
    <border>
      <left style="thick">
        <color theme="3" tint="0.749992370372631"/>
      </left>
      <right style="thick">
        <color theme="3" tint="0.749992370372631"/>
      </right>
      <top style="medium">
        <color rgb="FF0000FF"/>
      </top>
      <bottom style="thick">
        <color theme="3" tint="0.749992370372631"/>
      </bottom>
      <diagonal/>
    </border>
    <border>
      <left style="thick">
        <color theme="3" tint="0.749992370372631"/>
      </left>
      <right style="medium">
        <color rgb="FF0000FF"/>
      </right>
      <top style="medium">
        <color rgb="FF0000FF"/>
      </top>
      <bottom style="thick">
        <color theme="3" tint="0.749992370372631"/>
      </bottom>
      <diagonal/>
    </border>
    <border>
      <left style="medium">
        <color rgb="FF0000FF"/>
      </left>
      <right style="thick">
        <color theme="3" tint="0.749992370372631"/>
      </right>
      <top style="thick">
        <color theme="3" tint="0.749992370372631"/>
      </top>
      <bottom style="medium">
        <color rgb="FF0000FF"/>
      </bottom>
      <diagonal/>
    </border>
    <border>
      <left style="thick">
        <color theme="3" tint="0.749992370372631"/>
      </left>
      <right style="thick">
        <color theme="3" tint="0.749992370372631"/>
      </right>
      <top style="thick">
        <color theme="3" tint="0.749992370372631"/>
      </top>
      <bottom style="medium">
        <color rgb="FF0000FF"/>
      </bottom>
      <diagonal/>
    </border>
    <border>
      <left style="thick">
        <color theme="3" tint="0.749992370372631"/>
      </left>
      <right style="medium">
        <color rgb="FF0000FF"/>
      </right>
      <top style="thick">
        <color theme="3" tint="0.749992370372631"/>
      </top>
      <bottom style="medium">
        <color rgb="FF0000FF"/>
      </bottom>
      <diagonal/>
    </border>
    <border>
      <left style="medium">
        <color rgb="FF0000FF"/>
      </left>
      <right style="medium">
        <color rgb="FF0000FF"/>
      </right>
      <top style="medium">
        <color rgb="FF0000FF"/>
      </top>
      <bottom style="thin">
        <color auto="1"/>
      </bottom>
      <diagonal/>
    </border>
    <border>
      <left style="medium">
        <color rgb="FF0000FF"/>
      </left>
      <right style="medium">
        <color rgb="FF0000FF"/>
      </right>
      <top/>
      <bottom/>
      <diagonal/>
    </border>
  </borders>
  <cellStyleXfs count="4">
    <xf numFmtId="0" fontId="0" fillId="0" borderId="0"/>
    <xf numFmtId="0" fontId="36" fillId="0" borderId="0"/>
    <xf numFmtId="0" fontId="74" fillId="0" borderId="0"/>
    <xf numFmtId="0" fontId="76" fillId="0" borderId="0">
      <alignment vertical="top"/>
      <protection locked="0"/>
    </xf>
  </cellStyleXfs>
  <cellXfs count="1162">
    <xf numFmtId="0" fontId="0" fillId="0" borderId="0" xfId="0"/>
    <xf numFmtId="0" fontId="0" fillId="0" borderId="0" xfId="0" applyAlignment="1">
      <alignment horizontal="center" vertical="center"/>
    </xf>
    <xf numFmtId="0" fontId="1" fillId="0" borderId="0" xfId="0" applyFont="1"/>
    <xf numFmtId="0" fontId="1" fillId="0" borderId="0" xfId="0" applyFont="1" applyAlignment="1">
      <alignment horizontal="center"/>
    </xf>
    <xf numFmtId="0" fontId="1" fillId="0" borderId="0" xfId="0" applyFont="1" applyAlignment="1">
      <alignment horizontal="left"/>
    </xf>
    <xf numFmtId="0" fontId="6" fillId="0" borderId="0" xfId="0" applyFont="1"/>
    <xf numFmtId="2" fontId="2" fillId="0" borderId="0" xfId="0" applyNumberFormat="1" applyFont="1" applyAlignment="1">
      <alignment horizontal="center"/>
    </xf>
    <xf numFmtId="0" fontId="2" fillId="0" borderId="0" xfId="0" applyFont="1"/>
    <xf numFmtId="2" fontId="1" fillId="0" borderId="0" xfId="0" applyNumberFormat="1" applyFont="1" applyAlignment="1">
      <alignment horizontal="center"/>
    </xf>
    <xf numFmtId="0" fontId="14" fillId="3" borderId="1" xfId="0" applyFont="1" applyFill="1" applyBorder="1" applyAlignment="1" applyProtection="1">
      <alignment horizontal="center"/>
      <protection hidden="1"/>
    </xf>
    <xf numFmtId="0" fontId="15" fillId="0" borderId="2" xfId="0" applyFont="1" applyBorder="1" applyAlignment="1" applyProtection="1">
      <alignment horizontal="center"/>
      <protection hidden="1"/>
    </xf>
    <xf numFmtId="0" fontId="15" fillId="0" borderId="3" xfId="0" applyFont="1" applyBorder="1" applyAlignment="1" applyProtection="1">
      <alignment horizontal="center"/>
      <protection hidden="1"/>
    </xf>
    <xf numFmtId="164"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vertical="center" wrapText="1"/>
      <protection hidden="1"/>
    </xf>
    <xf numFmtId="0" fontId="15" fillId="0" borderId="3" xfId="0" quotePrefix="1" applyFont="1" applyBorder="1" applyAlignment="1" applyProtection="1">
      <alignment horizontal="center" vertical="center" wrapText="1"/>
      <protection hidden="1"/>
    </xf>
    <xf numFmtId="0" fontId="15" fillId="0" borderId="3" xfId="0" quotePrefix="1" applyFont="1" applyBorder="1" applyAlignment="1" applyProtection="1">
      <alignment horizontal="center"/>
      <protection hidden="1"/>
    </xf>
    <xf numFmtId="165" fontId="15" fillId="0" borderId="3" xfId="0" applyNumberFormat="1" applyFont="1" applyBorder="1" applyAlignment="1" applyProtection="1">
      <alignment horizontal="center"/>
      <protection hidden="1"/>
    </xf>
    <xf numFmtId="2" fontId="15" fillId="0" borderId="3" xfId="0" applyNumberFormat="1" applyFont="1" applyBorder="1" applyAlignment="1" applyProtection="1">
      <alignment horizontal="center"/>
      <protection hidden="1"/>
    </xf>
    <xf numFmtId="0" fontId="15" fillId="0" borderId="4" xfId="0" applyFont="1" applyBorder="1" applyAlignment="1" applyProtection="1">
      <alignment horizontal="center"/>
      <protection hidden="1"/>
    </xf>
    <xf numFmtId="0" fontId="14" fillId="3" borderId="5" xfId="0" applyFont="1" applyFill="1" applyBorder="1" applyAlignment="1" applyProtection="1">
      <alignment horizontal="center"/>
      <protection hidden="1"/>
    </xf>
    <xf numFmtId="0" fontId="15" fillId="0" borderId="6" xfId="0" applyFont="1" applyBorder="1" applyAlignment="1" applyProtection="1">
      <alignment horizontal="center"/>
      <protection hidden="1"/>
    </xf>
    <xf numFmtId="0" fontId="15" fillId="0" borderId="7" xfId="0" applyFont="1" applyBorder="1" applyAlignment="1" applyProtection="1">
      <alignment horizontal="center"/>
      <protection hidden="1"/>
    </xf>
    <xf numFmtId="0" fontId="15" fillId="0" borderId="7" xfId="0" quotePrefix="1" applyFont="1" applyBorder="1" applyAlignment="1" applyProtection="1">
      <alignment horizontal="center"/>
      <protection hidden="1"/>
    </xf>
    <xf numFmtId="2" fontId="15" fillId="0" borderId="7" xfId="0" applyNumberFormat="1" applyFont="1" applyBorder="1" applyAlignment="1" applyProtection="1">
      <alignment horizontal="center"/>
      <protection hidden="1"/>
    </xf>
    <xf numFmtId="165" fontId="15" fillId="0" borderId="7" xfId="0" applyNumberFormat="1" applyFont="1" applyBorder="1" applyAlignment="1" applyProtection="1">
      <alignment horizontal="center"/>
      <protection hidden="1"/>
    </xf>
    <xf numFmtId="0" fontId="15" fillId="0" borderId="8" xfId="0" applyFont="1" applyBorder="1" applyAlignment="1" applyProtection="1">
      <alignment horizontal="center"/>
      <protection hidden="1"/>
    </xf>
    <xf numFmtId="0" fontId="16" fillId="0" borderId="0" xfId="0" applyFont="1"/>
    <xf numFmtId="0" fontId="17" fillId="0" borderId="0" xfId="0" applyFont="1"/>
    <xf numFmtId="0" fontId="1" fillId="0" borderId="0" xfId="0" applyFont="1" applyAlignment="1">
      <alignment vertical="center"/>
    </xf>
    <xf numFmtId="2" fontId="2" fillId="0" borderId="0" xfId="0" applyNumberFormat="1" applyFont="1"/>
    <xf numFmtId="0" fontId="1" fillId="0" borderId="0" xfId="0" applyFont="1" applyAlignment="1">
      <alignment horizontal="center" vertical="center"/>
    </xf>
    <xf numFmtId="0" fontId="18" fillId="0" borderId="0" xfId="0" applyFont="1" applyAlignment="1">
      <alignment vertical="center"/>
    </xf>
    <xf numFmtId="0" fontId="4" fillId="0" borderId="0" xfId="0" applyFont="1" applyAlignment="1">
      <alignment vertical="center"/>
    </xf>
    <xf numFmtId="166" fontId="3" fillId="0" borderId="0" xfId="0" applyNumberFormat="1" applyFont="1" applyProtection="1">
      <protection locked="0"/>
    </xf>
    <xf numFmtId="2" fontId="2" fillId="0" borderId="0" xfId="0" applyNumberFormat="1" applyFont="1" applyAlignment="1">
      <alignment horizontal="center" vertical="center"/>
    </xf>
    <xf numFmtId="0" fontId="1" fillId="5" borderId="0" xfId="0" applyFont="1" applyFill="1"/>
    <xf numFmtId="0" fontId="0" fillId="0" borderId="0" xfId="0" applyAlignment="1">
      <alignment vertical="center"/>
    </xf>
    <xf numFmtId="0" fontId="0" fillId="0" borderId="0" xfId="0" applyAlignment="1">
      <alignment vertical="center" wrapText="1"/>
    </xf>
    <xf numFmtId="2" fontId="5" fillId="0" borderId="0" xfId="0" applyNumberFormat="1" applyFont="1" applyAlignment="1" applyProtection="1">
      <alignment horizontal="center"/>
      <protection locked="0"/>
    </xf>
    <xf numFmtId="2" fontId="1" fillId="0" borderId="0" xfId="0" applyNumberFormat="1" applyFont="1" applyAlignment="1" applyProtection="1">
      <alignment horizontal="center"/>
      <protection locked="0"/>
    </xf>
    <xf numFmtId="0" fontId="5" fillId="0" borderId="0" xfId="0" applyFont="1" applyAlignment="1">
      <alignment horizontal="center"/>
    </xf>
    <xf numFmtId="0" fontId="7" fillId="0" borderId="0" xfId="0" applyFont="1" applyAlignment="1">
      <alignment horizontal="center"/>
    </xf>
    <xf numFmtId="0" fontId="5" fillId="0" borderId="0" xfId="0" applyFont="1"/>
    <xf numFmtId="0" fontId="5" fillId="0" borderId="0" xfId="0" applyFont="1" applyAlignment="1">
      <alignment horizontal="left"/>
    </xf>
    <xf numFmtId="0" fontId="5" fillId="0" borderId="0" xfId="0" applyFont="1" applyAlignment="1">
      <alignment horizontal="right"/>
    </xf>
    <xf numFmtId="0" fontId="5" fillId="0" borderId="0" xfId="0" applyFont="1" applyAlignment="1">
      <alignment vertical="top"/>
    </xf>
    <xf numFmtId="0" fontId="1" fillId="0" borderId="0" xfId="0" applyFont="1" applyAlignment="1">
      <alignment horizontal="left" vertical="top"/>
    </xf>
    <xf numFmtId="0" fontId="1" fillId="0" borderId="0" xfId="0" applyFont="1" applyAlignment="1">
      <alignment horizontal="right"/>
    </xf>
    <xf numFmtId="0" fontId="7" fillId="0" borderId="0" xfId="0" applyFont="1" applyAlignment="1">
      <alignment horizontal="right"/>
    </xf>
    <xf numFmtId="0" fontId="7" fillId="0" borderId="0" xfId="0" applyFont="1"/>
    <xf numFmtId="0" fontId="0" fillId="0" borderId="0" xfId="0" applyAlignment="1">
      <alignment horizontal="center"/>
    </xf>
    <xf numFmtId="0" fontId="5" fillId="0" borderId="0" xfId="0" applyFont="1" applyAlignment="1">
      <alignment vertical="center"/>
    </xf>
    <xf numFmtId="0" fontId="9" fillId="0" borderId="0" xfId="0" applyFont="1"/>
    <xf numFmtId="2" fontId="8" fillId="0" borderId="0" xfId="0" applyNumberFormat="1" applyFont="1" applyAlignment="1" applyProtection="1">
      <alignment horizontal="center"/>
      <protection locked="0"/>
    </xf>
    <xf numFmtId="0" fontId="28" fillId="0" borderId="0" xfId="0" applyFont="1"/>
    <xf numFmtId="2" fontId="28" fillId="0" borderId="0" xfId="0" applyNumberFormat="1" applyFont="1" applyAlignment="1" applyProtection="1">
      <alignment horizontal="center"/>
      <protection locked="0"/>
    </xf>
    <xf numFmtId="0" fontId="5" fillId="0" borderId="9" xfId="0" applyFont="1" applyBorder="1" applyAlignment="1">
      <alignment horizontal="center"/>
    </xf>
    <xf numFmtId="2" fontId="5" fillId="0" borderId="9" xfId="0" applyNumberFormat="1" applyFont="1" applyBorder="1" applyAlignment="1" applyProtection="1">
      <alignment horizontal="center"/>
      <protection locked="0"/>
    </xf>
    <xf numFmtId="0" fontId="31" fillId="0" borderId="0" xfId="0" applyFont="1"/>
    <xf numFmtId="2" fontId="5" fillId="0" borderId="0" xfId="0" applyNumberFormat="1" applyFont="1" applyAlignment="1">
      <alignment horizontal="center"/>
    </xf>
    <xf numFmtId="0" fontId="25" fillId="0" borderId="0" xfId="0" applyFont="1" applyAlignment="1">
      <alignment horizontal="center"/>
    </xf>
    <xf numFmtId="0" fontId="1" fillId="0" borderId="0" xfId="0" applyFont="1" applyAlignment="1">
      <alignment wrapText="1"/>
    </xf>
    <xf numFmtId="0" fontId="1" fillId="0" borderId="10" xfId="0" applyFont="1" applyBorder="1"/>
    <xf numFmtId="0" fontId="1" fillId="0" borderId="11" xfId="0" applyFont="1" applyBorder="1"/>
    <xf numFmtId="0" fontId="34" fillId="7" borderId="0" xfId="0" applyFont="1" applyFill="1"/>
    <xf numFmtId="0" fontId="34" fillId="7" borderId="0" xfId="0" applyFont="1" applyFill="1" applyAlignment="1">
      <alignment horizontal="center"/>
    </xf>
    <xf numFmtId="0" fontId="37" fillId="0" borderId="0" xfId="1" applyFont="1"/>
    <xf numFmtId="2" fontId="30" fillId="0" borderId="0" xfId="0" applyNumberFormat="1" applyFont="1" applyAlignment="1" applyProtection="1">
      <alignment horizontal="center" vertical="top"/>
      <protection locked="0"/>
    </xf>
    <xf numFmtId="0" fontId="18" fillId="0" borderId="0" xfId="0" applyFont="1" applyAlignment="1">
      <alignment horizontal="center" vertical="center" wrapText="1"/>
    </xf>
    <xf numFmtId="0" fontId="29" fillId="0" borderId="0" xfId="0" applyFont="1"/>
    <xf numFmtId="0" fontId="33" fillId="0" borderId="0" xfId="0" applyFont="1"/>
    <xf numFmtId="0" fontId="33" fillId="0" borderId="0" xfId="0" applyFont="1" applyAlignment="1">
      <alignment horizontal="left"/>
    </xf>
    <xf numFmtId="0" fontId="0" fillId="0" borderId="0" xfId="0" applyAlignment="1">
      <alignment horizontal="left"/>
    </xf>
    <xf numFmtId="0" fontId="8" fillId="0" borderId="0" xfId="0" applyFont="1"/>
    <xf numFmtId="0" fontId="0" fillId="9" borderId="23" xfId="0" applyFill="1" applyBorder="1" applyAlignment="1">
      <alignment wrapText="1"/>
    </xf>
    <xf numFmtId="0" fontId="0" fillId="9" borderId="24" xfId="0" applyFill="1" applyBorder="1" applyAlignment="1">
      <alignment wrapText="1"/>
    </xf>
    <xf numFmtId="0" fontId="0" fillId="9" borderId="25" xfId="0" applyFill="1" applyBorder="1" applyAlignment="1">
      <alignment wrapText="1"/>
    </xf>
    <xf numFmtId="0" fontId="0" fillId="0" borderId="23" xfId="0" applyBorder="1" applyAlignment="1">
      <alignment wrapText="1"/>
    </xf>
    <xf numFmtId="0" fontId="0" fillId="0" borderId="24" xfId="0" applyBorder="1" applyAlignment="1">
      <alignment wrapText="1"/>
    </xf>
    <xf numFmtId="0" fontId="0" fillId="0" borderId="25" xfId="0" applyBorder="1" applyAlignment="1">
      <alignment wrapText="1"/>
    </xf>
    <xf numFmtId="0" fontId="0" fillId="9" borderId="20" xfId="0" applyFill="1" applyBorder="1" applyAlignment="1">
      <alignment wrapText="1"/>
    </xf>
    <xf numFmtId="0" fontId="0" fillId="9" borderId="21" xfId="0" applyFill="1" applyBorder="1" applyAlignment="1">
      <alignment wrapText="1"/>
    </xf>
    <xf numFmtId="0" fontId="0" fillId="9" borderId="22" xfId="0" applyFill="1" applyBorder="1" applyAlignment="1">
      <alignment wrapText="1"/>
    </xf>
    <xf numFmtId="0" fontId="38" fillId="8" borderId="26" xfId="0" applyFont="1" applyFill="1" applyBorder="1" applyAlignment="1">
      <alignment wrapText="1"/>
    </xf>
    <xf numFmtId="0" fontId="38" fillId="8" borderId="0" xfId="0" applyFont="1" applyFill="1" applyAlignment="1">
      <alignment wrapText="1"/>
    </xf>
    <xf numFmtId="0" fontId="1" fillId="0" borderId="0" xfId="0" quotePrefix="1" applyFont="1"/>
    <xf numFmtId="0" fontId="38" fillId="8" borderId="0" xfId="0" applyFont="1" applyFill="1" applyAlignment="1">
      <alignment horizontal="center" vertical="center" wrapText="1"/>
    </xf>
    <xf numFmtId="0" fontId="38" fillId="8" borderId="27" xfId="0" applyFont="1" applyFill="1" applyBorder="1" applyAlignment="1">
      <alignment horizontal="center" vertical="center" wrapText="1"/>
    </xf>
    <xf numFmtId="0" fontId="0" fillId="9" borderId="24" xfId="0" applyFill="1" applyBorder="1" applyAlignment="1">
      <alignment horizontal="center" vertical="center" wrapText="1"/>
    </xf>
    <xf numFmtId="0" fontId="0" fillId="0" borderId="24" xfId="0" applyBorder="1" applyAlignment="1">
      <alignment horizontal="center" vertical="center" wrapText="1"/>
    </xf>
    <xf numFmtId="0" fontId="0" fillId="9" borderId="21" xfId="0" applyFill="1" applyBorder="1" applyAlignment="1">
      <alignment horizontal="center" vertical="center" wrapText="1"/>
    </xf>
    <xf numFmtId="0" fontId="26" fillId="0" borderId="0" xfId="0" applyFont="1"/>
    <xf numFmtId="0" fontId="8" fillId="0" borderId="0" xfId="0" applyFont="1" applyAlignment="1">
      <alignment horizontal="right"/>
    </xf>
    <xf numFmtId="0" fontId="20" fillId="0" borderId="0" xfId="0" applyFont="1" applyAlignment="1">
      <alignment horizontal="right"/>
    </xf>
    <xf numFmtId="0" fontId="1" fillId="0" borderId="0" xfId="0" applyFont="1" applyAlignment="1">
      <alignment horizontal="left" indent="2"/>
    </xf>
    <xf numFmtId="0" fontId="1" fillId="0" borderId="0" xfId="0" applyFont="1" applyAlignment="1">
      <alignment horizontal="left" indent="3"/>
    </xf>
    <xf numFmtId="0" fontId="41" fillId="0" borderId="0" xfId="0" applyFont="1" applyAlignment="1">
      <alignment horizontal="left" indent="2"/>
    </xf>
    <xf numFmtId="0" fontId="5" fillId="0" borderId="0" xfId="0" applyFont="1" applyAlignment="1">
      <alignment horizontal="center" vertical="center"/>
    </xf>
    <xf numFmtId="2" fontId="2" fillId="0" borderId="0" xfId="0" applyNumberFormat="1" applyFont="1" applyAlignment="1">
      <alignment horizontal="left" indent="2"/>
    </xf>
    <xf numFmtId="0" fontId="5" fillId="0" borderId="0" xfId="0" applyFont="1" applyAlignment="1">
      <alignment horizontal="right" vertical="center"/>
    </xf>
    <xf numFmtId="0" fontId="32" fillId="0" borderId="0" xfId="0" applyFont="1" applyAlignment="1">
      <alignment horizontal="right"/>
    </xf>
    <xf numFmtId="0" fontId="27" fillId="0" borderId="0" xfId="0" applyFont="1"/>
    <xf numFmtId="0" fontId="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40" fillId="0" borderId="0" xfId="0" applyFont="1"/>
    <xf numFmtId="0" fontId="39" fillId="0" borderId="0" xfId="0" applyFont="1"/>
    <xf numFmtId="0" fontId="47" fillId="0" borderId="0" xfId="0" applyFont="1"/>
    <xf numFmtId="0" fontId="20" fillId="0" borderId="0" xfId="0" applyFont="1" applyAlignment="1">
      <alignment horizontal="left"/>
    </xf>
    <xf numFmtId="0" fontId="45" fillId="0" borderId="0" xfId="0" applyFont="1" applyAlignment="1">
      <alignment horizontal="right"/>
    </xf>
    <xf numFmtId="0" fontId="7" fillId="0" borderId="0" xfId="0" applyFont="1" applyAlignment="1">
      <alignment horizontal="center" vertical="center"/>
    </xf>
    <xf numFmtId="0" fontId="48" fillId="0" borderId="0" xfId="0" applyFont="1"/>
    <xf numFmtId="0" fontId="33" fillId="0" borderId="0" xfId="0" applyFont="1" applyAlignment="1">
      <alignment horizontal="left" indent="1"/>
    </xf>
    <xf numFmtId="0" fontId="18" fillId="0" borderId="0" xfId="0" applyFont="1" applyAlignment="1">
      <alignment horizontal="center" vertical="center"/>
    </xf>
    <xf numFmtId="0" fontId="49" fillId="0" borderId="18" xfId="0" applyFont="1" applyBorder="1" applyAlignment="1">
      <alignment horizontal="center" vertical="center"/>
    </xf>
    <xf numFmtId="0" fontId="20" fillId="0" borderId="17" xfId="0" applyFont="1" applyBorder="1" applyAlignment="1">
      <alignment horizontal="center" vertical="center"/>
    </xf>
    <xf numFmtId="0" fontId="20" fillId="0" borderId="19" xfId="0" applyFont="1" applyBorder="1" applyAlignment="1">
      <alignment horizontal="center" vertical="center"/>
    </xf>
    <xf numFmtId="0" fontId="1" fillId="6" borderId="0" xfId="0" applyFont="1" applyFill="1"/>
    <xf numFmtId="0" fontId="27" fillId="0" borderId="0" xfId="0" applyFont="1" applyAlignment="1">
      <alignment wrapText="1"/>
    </xf>
    <xf numFmtId="0" fontId="30" fillId="0" borderId="0" xfId="0" applyFont="1" applyAlignment="1">
      <alignment horizontal="right"/>
    </xf>
    <xf numFmtId="0" fontId="1" fillId="6" borderId="0" xfId="0" applyFont="1" applyFill="1" applyAlignment="1">
      <alignment vertical="center"/>
    </xf>
    <xf numFmtId="0" fontId="50" fillId="0" borderId="0" xfId="0" applyFont="1"/>
    <xf numFmtId="0" fontId="5" fillId="0" borderId="16" xfId="0" applyFont="1" applyBorder="1"/>
    <xf numFmtId="0" fontId="2" fillId="0" borderId="0" xfId="0" applyFont="1" applyAlignment="1">
      <alignment horizontal="center" vertical="center"/>
    </xf>
    <xf numFmtId="0" fontId="30" fillId="0" borderId="0" xfId="0" applyFont="1"/>
    <xf numFmtId="0" fontId="43" fillId="6" borderId="0" xfId="0" applyFont="1" applyFill="1"/>
    <xf numFmtId="0" fontId="23" fillId="0" borderId="0" xfId="0" applyFont="1" applyAlignment="1">
      <alignment horizontal="center" vertical="center"/>
    </xf>
    <xf numFmtId="0" fontId="21" fillId="0" borderId="0" xfId="0" applyFont="1" applyAlignment="1">
      <alignment horizontal="center" vertical="center"/>
    </xf>
    <xf numFmtId="0" fontId="24" fillId="0" borderId="0" xfId="0" applyFont="1" applyAlignment="1">
      <alignment horizontal="center" vertical="center"/>
    </xf>
    <xf numFmtId="0" fontId="17" fillId="0" borderId="0" xfId="0" applyFont="1" applyAlignment="1">
      <alignment horizontal="center" vertical="center"/>
    </xf>
    <xf numFmtId="2" fontId="0" fillId="0" borderId="0" xfId="0" applyNumberFormat="1" applyAlignment="1">
      <alignment horizontal="center" vertical="center"/>
    </xf>
    <xf numFmtId="0" fontId="51" fillId="0" borderId="0" xfId="0" applyFont="1"/>
    <xf numFmtId="0" fontId="21" fillId="0" borderId="0" xfId="0" applyFont="1"/>
    <xf numFmtId="0" fontId="0" fillId="9" borderId="24" xfId="0" applyFill="1" applyBorder="1" applyAlignment="1">
      <alignment horizontal="right" vertical="center" wrapText="1"/>
    </xf>
    <xf numFmtId="0" fontId="0" fillId="9" borderId="24" xfId="0" applyFill="1" applyBorder="1" applyAlignment="1">
      <alignment horizontal="right" wrapText="1"/>
    </xf>
    <xf numFmtId="0" fontId="0" fillId="9" borderId="25" xfId="0" applyFill="1" applyBorder="1" applyAlignment="1">
      <alignment horizontal="right" wrapText="1"/>
    </xf>
    <xf numFmtId="0" fontId="0" fillId="0" borderId="24" xfId="0" applyBorder="1" applyAlignment="1">
      <alignment horizontal="right" vertical="center" wrapText="1"/>
    </xf>
    <xf numFmtId="0" fontId="0" fillId="0" borderId="24" xfId="0" applyBorder="1" applyAlignment="1">
      <alignment horizontal="right" wrapText="1"/>
    </xf>
    <xf numFmtId="0" fontId="0" fillId="0" borderId="25" xfId="0" applyBorder="1" applyAlignment="1">
      <alignment horizontal="right" wrapText="1"/>
    </xf>
    <xf numFmtId="0" fontId="1" fillId="0" borderId="0" xfId="0" applyFont="1" applyProtection="1">
      <protection locked="0"/>
    </xf>
    <xf numFmtId="0" fontId="5" fillId="0" borderId="17" xfId="0" applyFont="1" applyBorder="1" applyAlignment="1" applyProtection="1">
      <alignment horizontal="center" vertical="center"/>
      <protection hidden="1"/>
    </xf>
    <xf numFmtId="0" fontId="23" fillId="0" borderId="17" xfId="0" applyFont="1" applyBorder="1" applyAlignment="1" applyProtection="1">
      <alignment horizontal="center" vertical="center"/>
      <protection hidden="1"/>
    </xf>
    <xf numFmtId="0" fontId="52" fillId="0" borderId="0" xfId="0" applyFont="1" applyAlignment="1">
      <alignment horizontal="center"/>
    </xf>
    <xf numFmtId="0" fontId="52" fillId="0" borderId="0" xfId="0" applyFont="1"/>
    <xf numFmtId="0" fontId="53" fillId="0" borderId="0" xfId="0" applyFont="1" applyAlignment="1">
      <alignment horizontal="right"/>
    </xf>
    <xf numFmtId="0" fontId="54" fillId="0" borderId="0" xfId="0" applyFont="1"/>
    <xf numFmtId="0" fontId="42" fillId="6" borderId="0" xfId="0" applyFont="1" applyFill="1" applyAlignment="1">
      <alignment horizontal="left" indent="1"/>
    </xf>
    <xf numFmtId="0" fontId="52" fillId="0" borderId="29" xfId="0" applyFont="1" applyBorder="1" applyAlignment="1">
      <alignment horizontal="center" vertical="center"/>
    </xf>
    <xf numFmtId="0" fontId="57" fillId="0" borderId="0" xfId="0" applyFont="1"/>
    <xf numFmtId="0" fontId="52" fillId="0" borderId="0" xfId="0" applyFont="1" applyAlignment="1">
      <alignment horizontal="center" vertical="center"/>
    </xf>
    <xf numFmtId="0" fontId="52" fillId="0" borderId="30" xfId="0" applyFont="1" applyBorder="1" applyAlignment="1">
      <alignment horizontal="right"/>
    </xf>
    <xf numFmtId="0" fontId="43" fillId="0" borderId="0" xfId="0" applyFont="1"/>
    <xf numFmtId="0" fontId="52" fillId="0" borderId="0" xfId="0" applyFont="1" applyAlignment="1">
      <alignment vertical="center"/>
    </xf>
    <xf numFmtId="0" fontId="56" fillId="0" borderId="0" xfId="0" applyFont="1" applyAlignment="1">
      <alignment horizontal="left" indent="5"/>
    </xf>
    <xf numFmtId="0" fontId="1" fillId="0" borderId="0" xfId="0" applyFont="1" applyAlignment="1">
      <alignment horizontal="left" indent="5"/>
    </xf>
    <xf numFmtId="0" fontId="35" fillId="0" borderId="0" xfId="0" applyFont="1"/>
    <xf numFmtId="0" fontId="5" fillId="0" borderId="31" xfId="0" applyFont="1" applyBorder="1" applyAlignment="1">
      <alignment horizontal="center"/>
    </xf>
    <xf numFmtId="0" fontId="5" fillId="0" borderId="29" xfId="0" applyFont="1" applyBorder="1" applyProtection="1">
      <protection hidden="1"/>
    </xf>
    <xf numFmtId="0" fontId="5" fillId="0" borderId="29" xfId="0" quotePrefix="1" applyFont="1" applyBorder="1" applyAlignment="1" applyProtection="1">
      <alignment horizontal="center"/>
      <protection hidden="1"/>
    </xf>
    <xf numFmtId="0" fontId="40" fillId="0" borderId="0" xfId="0" applyFont="1" applyAlignment="1">
      <alignment horizontal="center"/>
    </xf>
    <xf numFmtId="0" fontId="17" fillId="0" borderId="0" xfId="0" applyFont="1" applyAlignment="1">
      <alignment horizontal="center"/>
    </xf>
    <xf numFmtId="0" fontId="61" fillId="0" borderId="0" xfId="0" applyFont="1" applyAlignment="1">
      <alignment horizontal="center" vertical="center"/>
    </xf>
    <xf numFmtId="0" fontId="62" fillId="0" borderId="0" xfId="0" applyFont="1" applyAlignment="1">
      <alignment horizontal="center" vertical="center"/>
    </xf>
    <xf numFmtId="0" fontId="57" fillId="0" borderId="0" xfId="0" applyFont="1" applyAlignment="1">
      <alignment horizontal="center" vertical="center"/>
    </xf>
    <xf numFmtId="2" fontId="57" fillId="0" borderId="0" xfId="0" applyNumberFormat="1" applyFont="1" applyAlignment="1">
      <alignment horizontal="left" indent="2"/>
    </xf>
    <xf numFmtId="0" fontId="62" fillId="0" borderId="0" xfId="0" applyFont="1"/>
    <xf numFmtId="0" fontId="61" fillId="0" borderId="0" xfId="0" applyFont="1" applyAlignment="1" applyProtection="1">
      <alignment horizontal="center" vertical="center"/>
      <protection hidden="1"/>
    </xf>
    <xf numFmtId="0" fontId="57" fillId="0" borderId="35" xfId="0" applyFont="1" applyBorder="1" applyAlignment="1">
      <alignment horizontal="center" vertical="center"/>
    </xf>
    <xf numFmtId="0" fontId="52" fillId="0" borderId="34" xfId="0" applyFont="1" applyBorder="1" applyAlignment="1">
      <alignment horizontal="center" vertical="center"/>
    </xf>
    <xf numFmtId="0" fontId="53" fillId="0" borderId="36" xfId="0" applyFont="1" applyBorder="1" applyAlignment="1">
      <alignment horizontal="center"/>
    </xf>
    <xf numFmtId="0" fontId="52" fillId="0" borderId="38" xfId="0" applyFont="1" applyBorder="1" applyAlignment="1">
      <alignment horizontal="center" vertical="center"/>
    </xf>
    <xf numFmtId="0" fontId="68" fillId="0" borderId="0" xfId="1" applyFont="1" applyAlignment="1">
      <alignment horizontal="center"/>
    </xf>
    <xf numFmtId="0" fontId="66" fillId="0" borderId="0" xfId="0" applyFont="1" applyAlignment="1">
      <alignment horizontal="right"/>
    </xf>
    <xf numFmtId="0" fontId="66" fillId="0" borderId="0" xfId="0" applyFont="1" applyAlignment="1">
      <alignment horizontal="center"/>
    </xf>
    <xf numFmtId="0" fontId="1" fillId="0" borderId="0" xfId="0" quotePrefix="1" applyFont="1" applyAlignment="1">
      <alignment horizontal="left" vertical="center" indent="1"/>
    </xf>
    <xf numFmtId="0" fontId="57" fillId="0" borderId="30" xfId="0" applyFont="1" applyBorder="1" applyAlignment="1">
      <alignment horizontal="right"/>
    </xf>
    <xf numFmtId="0" fontId="60" fillId="0" borderId="36" xfId="0" applyFont="1" applyBorder="1" applyAlignment="1">
      <alignment horizontal="center"/>
    </xf>
    <xf numFmtId="0" fontId="57" fillId="0" borderId="0" xfId="0" applyFont="1" applyAlignment="1">
      <alignment horizontal="left" indent="1"/>
    </xf>
    <xf numFmtId="0" fontId="57" fillId="0" borderId="0" xfId="0" applyFont="1" applyAlignment="1">
      <alignment horizontal="left" indent="2"/>
    </xf>
    <xf numFmtId="0" fontId="69" fillId="0" borderId="0" xfId="0" applyFont="1"/>
    <xf numFmtId="0" fontId="0" fillId="0" borderId="0" xfId="0" applyAlignment="1">
      <alignment horizontal="left" vertical="top" wrapText="1"/>
    </xf>
    <xf numFmtId="0" fontId="59" fillId="0" borderId="0" xfId="0" applyFont="1" applyAlignment="1">
      <alignment horizontal="right"/>
    </xf>
    <xf numFmtId="0" fontId="59" fillId="0" borderId="0" xfId="0" applyFont="1" applyAlignment="1">
      <alignment horizontal="center"/>
    </xf>
    <xf numFmtId="0" fontId="7" fillId="0" borderId="0" xfId="0" applyFont="1" applyAlignment="1">
      <alignment horizontal="left"/>
    </xf>
    <xf numFmtId="0" fontId="24" fillId="0" borderId="0" xfId="0" applyFont="1" applyAlignment="1">
      <alignment horizontal="left"/>
    </xf>
    <xf numFmtId="0" fontId="24" fillId="0" borderId="0" xfId="0" applyFont="1"/>
    <xf numFmtId="0" fontId="17" fillId="0" borderId="0" xfId="0" quotePrefix="1" applyFont="1" applyAlignment="1">
      <alignment horizontal="left" vertical="center" indent="1"/>
    </xf>
    <xf numFmtId="0" fontId="54" fillId="0" borderId="0" xfId="0" applyFont="1" applyAlignment="1">
      <alignment horizontal="left" vertical="center" indent="1"/>
    </xf>
    <xf numFmtId="0" fontId="40" fillId="0" borderId="0" xfId="0" quotePrefix="1" applyFont="1" applyAlignment="1">
      <alignment horizontal="left" vertical="center" indent="1"/>
    </xf>
    <xf numFmtId="0" fontId="70" fillId="0" borderId="0" xfId="0" applyFont="1"/>
    <xf numFmtId="0" fontId="72" fillId="0" borderId="0" xfId="0" quotePrefix="1" applyFont="1" applyAlignment="1">
      <alignment horizontal="left" vertical="center" indent="1"/>
    </xf>
    <xf numFmtId="0" fontId="70" fillId="0" borderId="0" xfId="0" applyFont="1" applyAlignment="1">
      <alignment horizontal="left" vertical="center" indent="1"/>
    </xf>
    <xf numFmtId="0" fontId="71" fillId="0" borderId="0" xfId="0" applyFont="1" applyAlignment="1">
      <alignment horizontal="left" vertical="center" indent="3"/>
    </xf>
    <xf numFmtId="0" fontId="17" fillId="0" borderId="0" xfId="0" applyFont="1" applyAlignment="1">
      <alignment horizontal="left" indent="2"/>
    </xf>
    <xf numFmtId="0" fontId="70" fillId="0" borderId="0" xfId="0" applyFont="1" applyAlignment="1">
      <alignment horizontal="left" vertical="center" indent="3"/>
    </xf>
    <xf numFmtId="0" fontId="40" fillId="0" borderId="0" xfId="0" applyFont="1" applyAlignment="1">
      <alignment horizontal="left" indent="2"/>
    </xf>
    <xf numFmtId="0" fontId="6" fillId="0" borderId="0" xfId="0" applyFont="1" applyAlignment="1">
      <alignment horizontal="center"/>
    </xf>
    <xf numFmtId="0" fontId="45" fillId="0" borderId="30" xfId="0" applyFont="1" applyBorder="1" applyAlignment="1">
      <alignment horizontal="right"/>
    </xf>
    <xf numFmtId="0" fontId="5" fillId="0" borderId="31" xfId="0" applyFont="1" applyBorder="1" applyAlignment="1">
      <alignment horizontal="left"/>
    </xf>
    <xf numFmtId="2" fontId="2" fillId="0" borderId="0" xfId="0" applyNumberFormat="1" applyFont="1" applyAlignment="1">
      <alignment horizontal="center" shrinkToFit="1"/>
    </xf>
    <xf numFmtId="2" fontId="60" fillId="0" borderId="0" xfId="0" applyNumberFormat="1" applyFont="1" applyAlignment="1">
      <alignment horizontal="center" shrinkToFit="1"/>
    </xf>
    <xf numFmtId="0" fontId="65" fillId="0" borderId="0" xfId="0" applyFont="1" applyAlignment="1">
      <alignment horizontal="left" indent="12"/>
    </xf>
    <xf numFmtId="2" fontId="60" fillId="0" borderId="0" xfId="0" applyNumberFormat="1" applyFont="1" applyAlignment="1">
      <alignment horizontal="center" vertical="center"/>
    </xf>
    <xf numFmtId="0" fontId="65" fillId="0" borderId="0" xfId="0" applyFont="1" applyAlignment="1">
      <alignment horizontal="right" vertical="center"/>
    </xf>
    <xf numFmtId="0" fontId="63" fillId="0" borderId="0" xfId="0" applyFont="1" applyAlignment="1">
      <alignment vertical="center"/>
    </xf>
    <xf numFmtId="0" fontId="65" fillId="0" borderId="0" xfId="0" applyFont="1" applyAlignment="1">
      <alignment horizontal="left" vertical="center" indent="1"/>
    </xf>
    <xf numFmtId="0" fontId="0" fillId="5" borderId="0" xfId="0" applyFill="1" applyAlignment="1">
      <alignment horizontal="center" vertical="center"/>
    </xf>
    <xf numFmtId="2" fontId="0" fillId="5" borderId="0" xfId="0" applyNumberFormat="1" applyFill="1" applyAlignment="1">
      <alignment horizontal="center" vertical="center"/>
    </xf>
    <xf numFmtId="0" fontId="0" fillId="5" borderId="0" xfId="0" applyFill="1" applyAlignment="1">
      <alignment horizontal="left" vertical="center"/>
    </xf>
    <xf numFmtId="0" fontId="0" fillId="5" borderId="0" xfId="0" applyFill="1" applyAlignment="1">
      <alignment horizontal="right" vertical="center"/>
    </xf>
    <xf numFmtId="0" fontId="73" fillId="5" borderId="0" xfId="0" applyFont="1" applyFill="1" applyAlignment="1">
      <alignment horizontal="left" vertical="center"/>
    </xf>
    <xf numFmtId="2" fontId="0" fillId="5" borderId="0" xfId="0" applyNumberFormat="1" applyFill="1" applyAlignment="1">
      <alignment horizontal="right" vertical="center"/>
    </xf>
    <xf numFmtId="0" fontId="10" fillId="0" borderId="0" xfId="2" applyFont="1" applyAlignment="1">
      <alignment horizontal="center"/>
    </xf>
    <xf numFmtId="0" fontId="75" fillId="0" borderId="0" xfId="2" applyFont="1"/>
    <xf numFmtId="0" fontId="0" fillId="0" borderId="45" xfId="0" applyBorder="1"/>
    <xf numFmtId="0" fontId="0" fillId="0" borderId="47" xfId="0" applyBorder="1"/>
    <xf numFmtId="0" fontId="0" fillId="0" borderId="48" xfId="0" applyBorder="1"/>
    <xf numFmtId="0" fontId="5" fillId="0" borderId="0" xfId="0" quotePrefix="1" applyFont="1" applyAlignment="1">
      <alignment horizontal="right"/>
    </xf>
    <xf numFmtId="0" fontId="66" fillId="0" borderId="0" xfId="0" applyFont="1" applyAlignment="1">
      <alignment horizontal="left" indent="5"/>
    </xf>
    <xf numFmtId="0" fontId="47" fillId="0" borderId="0" xfId="0" applyFont="1" applyAlignment="1">
      <alignment horizontal="right" vertical="center"/>
    </xf>
    <xf numFmtId="2" fontId="30" fillId="0" borderId="0" xfId="0" applyNumberFormat="1" applyFont="1" applyAlignment="1">
      <alignment horizontal="center" vertical="center"/>
    </xf>
    <xf numFmtId="0" fontId="60" fillId="0" borderId="0" xfId="0" applyFont="1" applyAlignment="1">
      <alignment horizontal="center" vertical="center"/>
    </xf>
    <xf numFmtId="0" fontId="57" fillId="0" borderId="0" xfId="0" applyFont="1" applyAlignment="1">
      <alignment horizontal="center"/>
    </xf>
    <xf numFmtId="0" fontId="30" fillId="0" borderId="0" xfId="0" applyFont="1" applyAlignment="1">
      <alignment horizontal="center"/>
    </xf>
    <xf numFmtId="0" fontId="31" fillId="0" borderId="0" xfId="0" applyFont="1" applyAlignment="1">
      <alignment horizontal="center"/>
    </xf>
    <xf numFmtId="0" fontId="78" fillId="0" borderId="0" xfId="0" applyFont="1" applyAlignment="1">
      <alignment vertical="center"/>
    </xf>
    <xf numFmtId="0" fontId="0" fillId="0" borderId="51" xfId="0" applyBorder="1"/>
    <xf numFmtId="0" fontId="0" fillId="0" borderId="0" xfId="0" applyAlignment="1">
      <alignment horizontal="left" vertical="center" indent="1"/>
    </xf>
    <xf numFmtId="0" fontId="0" fillId="0" borderId="50" xfId="0" applyBorder="1" applyAlignment="1">
      <alignment horizontal="center" vertical="center"/>
    </xf>
    <xf numFmtId="0" fontId="0" fillId="0" borderId="50" xfId="0" applyBorder="1" applyAlignment="1">
      <alignment horizontal="center"/>
    </xf>
    <xf numFmtId="0" fontId="0" fillId="0" borderId="52" xfId="0" applyBorder="1"/>
    <xf numFmtId="2" fontId="0" fillId="0" borderId="42" xfId="0" applyNumberFormat="1" applyBorder="1" applyAlignment="1">
      <alignment horizontal="center" wrapText="1"/>
    </xf>
    <xf numFmtId="165" fontId="0" fillId="0" borderId="42" xfId="0" applyNumberFormat="1" applyBorder="1" applyAlignment="1">
      <alignment horizontal="center" wrapText="1"/>
    </xf>
    <xf numFmtId="0" fontId="0" fillId="0" borderId="42" xfId="0" applyBorder="1" applyAlignment="1">
      <alignment horizontal="center"/>
    </xf>
    <xf numFmtId="0" fontId="0" fillId="0" borderId="53" xfId="0" applyBorder="1"/>
    <xf numFmtId="0" fontId="0" fillId="0" borderId="54" xfId="0" applyBorder="1"/>
    <xf numFmtId="0" fontId="0" fillId="0" borderId="55" xfId="0" applyBorder="1"/>
    <xf numFmtId="0" fontId="0" fillId="0" borderId="49" xfId="0" applyBorder="1"/>
    <xf numFmtId="0" fontId="0" fillId="0" borderId="42" xfId="0" applyBorder="1" applyAlignment="1">
      <alignment horizontal="center" vertical="center"/>
    </xf>
    <xf numFmtId="0" fontId="18" fillId="0" borderId="0" xfId="0" applyFont="1"/>
    <xf numFmtId="0" fontId="18" fillId="0" borderId="43" xfId="0" applyFont="1" applyBorder="1" applyAlignment="1">
      <alignment vertical="center"/>
    </xf>
    <xf numFmtId="0" fontId="18" fillId="0" borderId="57" xfId="0" applyFont="1" applyBorder="1" applyAlignment="1">
      <alignment horizontal="left" vertical="center" indent="6"/>
    </xf>
    <xf numFmtId="0" fontId="18" fillId="0" borderId="57" xfId="0" applyFont="1" applyBorder="1" applyAlignment="1">
      <alignment vertical="center"/>
    </xf>
    <xf numFmtId="0" fontId="18" fillId="0" borderId="56" xfId="0" applyFont="1" applyBorder="1" applyAlignment="1">
      <alignment vertical="center"/>
    </xf>
    <xf numFmtId="0" fontId="77" fillId="0" borderId="54" xfId="0" applyFont="1" applyBorder="1" applyAlignment="1">
      <alignment horizontal="center" vertical="center"/>
    </xf>
    <xf numFmtId="0" fontId="77" fillId="0" borderId="44" xfId="0" applyFont="1" applyBorder="1"/>
    <xf numFmtId="0" fontId="77" fillId="0" borderId="0" xfId="0" applyFont="1"/>
    <xf numFmtId="0" fontId="77" fillId="0" borderId="45" xfId="0" applyFont="1" applyBorder="1"/>
    <xf numFmtId="0" fontId="77" fillId="0" borderId="55" xfId="0" applyFont="1" applyBorder="1" applyAlignment="1">
      <alignment horizontal="center" vertical="center"/>
    </xf>
    <xf numFmtId="0" fontId="77" fillId="0" borderId="46" xfId="0" applyFont="1" applyBorder="1"/>
    <xf numFmtId="0" fontId="77" fillId="0" borderId="47" xfId="0" applyFont="1" applyBorder="1"/>
    <xf numFmtId="0" fontId="77" fillId="0" borderId="48" xfId="0" applyFont="1" applyBorder="1"/>
    <xf numFmtId="0" fontId="18" fillId="0" borderId="59" xfId="0" applyFont="1" applyBorder="1" applyAlignment="1">
      <alignment horizontal="center" vertical="top"/>
    </xf>
    <xf numFmtId="0" fontId="18" fillId="0" borderId="60" xfId="0" applyFont="1" applyBorder="1" applyAlignment="1">
      <alignment horizontal="center" vertical="top"/>
    </xf>
    <xf numFmtId="0" fontId="0" fillId="0" borderId="61" xfId="0" applyBorder="1"/>
    <xf numFmtId="0" fontId="0" fillId="0" borderId="62" xfId="0" applyBorder="1"/>
    <xf numFmtId="0" fontId="0" fillId="0" borderId="64" xfId="0" applyBorder="1"/>
    <xf numFmtId="0" fontId="0" fillId="0" borderId="67" xfId="0" applyBorder="1"/>
    <xf numFmtId="0" fontId="0" fillId="0" borderId="54" xfId="0" applyBorder="1" applyAlignment="1">
      <alignment horizontal="left" vertical="center" indent="1"/>
    </xf>
    <xf numFmtId="0" fontId="18" fillId="0" borderId="54" xfId="0" applyFont="1" applyBorder="1"/>
    <xf numFmtId="0" fontId="18" fillId="0" borderId="54" xfId="0" applyFont="1" applyBorder="1" applyAlignment="1">
      <alignment horizontal="left" vertical="center" indent="2"/>
    </xf>
    <xf numFmtId="0" fontId="0" fillId="0" borderId="54" xfId="0" applyBorder="1" applyAlignment="1">
      <alignment horizontal="left" vertical="center" indent="2"/>
    </xf>
    <xf numFmtId="0" fontId="18" fillId="0" borderId="60" xfId="0" applyFont="1" applyBorder="1" applyAlignment="1">
      <alignment horizontal="center" vertical="center"/>
    </xf>
    <xf numFmtId="0" fontId="18" fillId="0" borderId="68" xfId="0" applyFont="1"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2" xfId="0" applyBorder="1" applyAlignment="1">
      <alignment horizontal="center" vertical="center"/>
    </xf>
    <xf numFmtId="0" fontId="0" fillId="0" borderId="58" xfId="0" applyBorder="1" applyAlignment="1">
      <alignment horizontal="center" vertical="center"/>
    </xf>
    <xf numFmtId="2" fontId="5" fillId="0" borderId="14" xfId="0" applyNumberFormat="1" applyFont="1" applyBorder="1" applyAlignment="1" applyProtection="1">
      <alignment horizontal="center"/>
      <protection locked="0"/>
    </xf>
    <xf numFmtId="0" fontId="67" fillId="0" borderId="0" xfId="0" applyFont="1"/>
    <xf numFmtId="0" fontId="0" fillId="0" borderId="73" xfId="0" applyBorder="1"/>
    <xf numFmtId="0" fontId="1" fillId="0" borderId="73" xfId="0" applyFont="1" applyBorder="1"/>
    <xf numFmtId="0" fontId="9" fillId="0" borderId="73" xfId="0" applyFont="1" applyBorder="1"/>
    <xf numFmtId="0" fontId="5" fillId="0" borderId="73" xfId="0" applyFont="1" applyBorder="1" applyAlignment="1" applyProtection="1">
      <alignment horizontal="center" vertical="center"/>
      <protection hidden="1"/>
    </xf>
    <xf numFmtId="0" fontId="29" fillId="0" borderId="73" xfId="0" applyFont="1" applyBorder="1" applyAlignment="1" applyProtection="1">
      <alignment horizontal="center" vertical="center"/>
      <protection hidden="1"/>
    </xf>
    <xf numFmtId="0" fontId="33" fillId="0" borderId="73" xfId="0" applyFont="1" applyBorder="1"/>
    <xf numFmtId="0" fontId="55" fillId="0" borderId="63" xfId="0" applyFont="1" applyBorder="1" applyAlignment="1">
      <alignment horizontal="center" vertical="center"/>
    </xf>
    <xf numFmtId="0" fontId="55" fillId="0" borderId="65" xfId="0" applyFont="1" applyBorder="1" applyAlignment="1">
      <alignment horizontal="center" vertical="center"/>
    </xf>
    <xf numFmtId="0" fontId="55" fillId="0" borderId="66" xfId="0" applyFont="1" applyBorder="1" applyAlignment="1">
      <alignment horizontal="center" vertical="center"/>
    </xf>
    <xf numFmtId="0" fontId="18" fillId="0" borderId="59" xfId="0" applyFont="1" applyBorder="1" applyAlignment="1">
      <alignment horizontal="center" vertical="center"/>
    </xf>
    <xf numFmtId="0" fontId="1" fillId="0" borderId="75" xfId="0" applyFont="1" applyBorder="1"/>
    <xf numFmtId="2" fontId="5" fillId="0" borderId="76" xfId="0" applyNumberFormat="1" applyFont="1" applyBorder="1" applyAlignment="1" applyProtection="1">
      <alignment horizontal="center"/>
      <protection locked="0" hidden="1"/>
    </xf>
    <xf numFmtId="0" fontId="1" fillId="0" borderId="76" xfId="0" applyFont="1" applyBorder="1"/>
    <xf numFmtId="0" fontId="30" fillId="0" borderId="13" xfId="0" applyFont="1" applyBorder="1" applyAlignment="1">
      <alignment horizontal="center" vertical="center"/>
    </xf>
    <xf numFmtId="0" fontId="30" fillId="0" borderId="13" xfId="0" applyFont="1" applyBorder="1" applyAlignment="1">
      <alignment horizontal="center"/>
    </xf>
    <xf numFmtId="0" fontId="8" fillId="0" borderId="14" xfId="0" applyFont="1" applyBorder="1" applyAlignment="1">
      <alignment horizontal="center"/>
    </xf>
    <xf numFmtId="0" fontId="1" fillId="0" borderId="0" xfId="0" applyFont="1" applyAlignment="1">
      <alignment horizontal="left" indent="1"/>
    </xf>
    <xf numFmtId="0" fontId="5" fillId="0" borderId="0" xfId="0" applyFont="1" applyAlignment="1">
      <alignment horizontal="left" indent="1"/>
    </xf>
    <xf numFmtId="0" fontId="5" fillId="0" borderId="15" xfId="0" applyFont="1" applyBorder="1" applyAlignment="1">
      <alignment horizontal="center" vertical="center"/>
    </xf>
    <xf numFmtId="0" fontId="30" fillId="0" borderId="0" xfId="0" applyFont="1" applyAlignment="1">
      <alignment horizontal="center" vertical="center"/>
    </xf>
    <xf numFmtId="0" fontId="30" fillId="0" borderId="0" xfId="0" applyFont="1" applyAlignment="1">
      <alignment horizontal="left" indent="1"/>
    </xf>
    <xf numFmtId="0" fontId="30" fillId="0" borderId="14" xfId="0" applyFont="1" applyBorder="1" applyAlignment="1">
      <alignment horizontal="center"/>
    </xf>
    <xf numFmtId="2" fontId="30" fillId="0" borderId="15" xfId="0" applyNumberFormat="1" applyFont="1" applyBorder="1" applyAlignment="1" applyProtection="1">
      <alignment horizontal="center"/>
      <protection locked="0" hidden="1"/>
    </xf>
    <xf numFmtId="0" fontId="62" fillId="0" borderId="0" xfId="0" applyFont="1" applyAlignment="1">
      <alignment horizontal="center"/>
    </xf>
    <xf numFmtId="0" fontId="30" fillId="0" borderId="15" xfId="0" applyFont="1" applyBorder="1" applyAlignment="1">
      <alignment horizontal="center"/>
    </xf>
    <xf numFmtId="0" fontId="30" fillId="0" borderId="14" xfId="0" applyFont="1" applyBorder="1" applyAlignment="1">
      <alignment horizontal="center" vertical="center"/>
    </xf>
    <xf numFmtId="0" fontId="25" fillId="0" borderId="0" xfId="0" applyFont="1"/>
    <xf numFmtId="0" fontId="81" fillId="0" borderId="13" xfId="0" applyFont="1" applyBorder="1" applyAlignment="1">
      <alignment horizontal="center" vertical="center"/>
    </xf>
    <xf numFmtId="0" fontId="81" fillId="0" borderId="14" xfId="0" applyFont="1" applyBorder="1" applyAlignment="1">
      <alignment horizontal="center" vertical="center"/>
    </xf>
    <xf numFmtId="2" fontId="81" fillId="0" borderId="14" xfId="0" applyNumberFormat="1" applyFont="1" applyBorder="1" applyAlignment="1" applyProtection="1">
      <alignment horizontal="center" vertical="center"/>
      <protection hidden="1"/>
    </xf>
    <xf numFmtId="0" fontId="83" fillId="0" borderId="14" xfId="0" applyFont="1" applyBorder="1" applyAlignment="1">
      <alignment horizontal="center" vertical="center"/>
    </xf>
    <xf numFmtId="0" fontId="7" fillId="0" borderId="0" xfId="0" applyFont="1" applyAlignment="1">
      <alignment vertical="center"/>
    </xf>
    <xf numFmtId="0" fontId="25" fillId="0" borderId="0" xfId="0" applyFont="1" applyAlignment="1">
      <alignment horizontal="right"/>
    </xf>
    <xf numFmtId="0" fontId="25" fillId="0" borderId="0" xfId="0" applyFont="1" applyAlignment="1">
      <alignment horizontal="left" vertical="center"/>
    </xf>
    <xf numFmtId="0" fontId="24" fillId="0" borderId="0" xfId="0" applyFont="1" applyAlignment="1">
      <alignment horizontal="right"/>
    </xf>
    <xf numFmtId="0" fontId="80" fillId="0" borderId="0" xfId="0" applyFont="1" applyAlignment="1">
      <alignment horizontal="center" vertical="center"/>
    </xf>
    <xf numFmtId="2" fontId="24" fillId="0" borderId="0" xfId="0" applyNumberFormat="1" applyFont="1" applyAlignment="1">
      <alignment horizontal="center"/>
    </xf>
    <xf numFmtId="2" fontId="8" fillId="0" borderId="0" xfId="0" applyNumberFormat="1" applyFont="1" applyAlignment="1">
      <alignment horizontal="left"/>
    </xf>
    <xf numFmtId="0" fontId="1" fillId="0" borderId="0" xfId="0" applyFont="1" applyAlignment="1">
      <alignment horizontal="left" indent="4"/>
    </xf>
    <xf numFmtId="0" fontId="5" fillId="0" borderId="0" xfId="0" applyFont="1" applyAlignment="1">
      <alignment horizontal="left" vertical="top"/>
    </xf>
    <xf numFmtId="0" fontId="8" fillId="0" borderId="14" xfId="0" applyFont="1" applyBorder="1" applyAlignment="1">
      <alignment horizontal="right"/>
    </xf>
    <xf numFmtId="0" fontId="72" fillId="0" borderId="30" xfId="0" applyFont="1" applyBorder="1" applyAlignment="1">
      <alignment horizontal="center" vertical="center"/>
    </xf>
    <xf numFmtId="0" fontId="72" fillId="0" borderId="30" xfId="0" applyFont="1" applyBorder="1" applyAlignment="1">
      <alignment horizontal="center"/>
    </xf>
    <xf numFmtId="2" fontId="30" fillId="0" borderId="15" xfId="0" applyNumberFormat="1" applyFont="1" applyBorder="1" applyAlignment="1" applyProtection="1">
      <alignment horizontal="center" vertical="center"/>
      <protection locked="0" hidden="1"/>
    </xf>
    <xf numFmtId="2" fontId="30" fillId="5" borderId="15" xfId="0" applyNumberFormat="1" applyFont="1" applyFill="1" applyBorder="1" applyAlignment="1" applyProtection="1">
      <alignment horizontal="center"/>
      <protection locked="0" hidden="1"/>
    </xf>
    <xf numFmtId="0" fontId="81" fillId="0" borderId="14" xfId="0" applyFont="1" applyBorder="1" applyAlignment="1">
      <alignment horizontal="center"/>
    </xf>
    <xf numFmtId="2" fontId="5" fillId="0" borderId="0" xfId="0" applyNumberFormat="1" applyFont="1" applyAlignment="1" applyProtection="1">
      <alignment horizontal="center" vertical="center"/>
      <protection locked="0"/>
    </xf>
    <xf numFmtId="0" fontId="5" fillId="0" borderId="86" xfId="0" applyFont="1" applyBorder="1" applyAlignment="1">
      <alignment vertical="center"/>
    </xf>
    <xf numFmtId="0" fontId="5" fillId="0" borderId="87" xfId="0" applyFont="1" applyBorder="1" applyAlignment="1">
      <alignment vertical="center"/>
    </xf>
    <xf numFmtId="0" fontId="72" fillId="0" borderId="0" xfId="0" applyFont="1" applyAlignment="1">
      <alignment horizontal="center" vertical="center"/>
    </xf>
    <xf numFmtId="0" fontId="72" fillId="0" borderId="0" xfId="0" applyFont="1"/>
    <xf numFmtId="2" fontId="72" fillId="0" borderId="0" xfId="0" applyNumberFormat="1" applyFont="1" applyAlignment="1" applyProtection="1">
      <alignment horizontal="center"/>
      <protection locked="0" hidden="1"/>
    </xf>
    <xf numFmtId="0" fontId="23" fillId="0" borderId="0" xfId="0" applyFont="1" applyAlignment="1" applyProtection="1">
      <alignment horizontal="center" vertical="center"/>
      <protection hidden="1"/>
    </xf>
    <xf numFmtId="0" fontId="81" fillId="0" borderId="31" xfId="0" applyFont="1" applyBorder="1" applyAlignment="1" applyProtection="1">
      <alignment horizontal="center"/>
      <protection hidden="1"/>
    </xf>
    <xf numFmtId="0" fontId="87" fillId="0" borderId="0" xfId="0" applyFont="1" applyAlignment="1">
      <alignment horizontal="left" vertical="top"/>
    </xf>
    <xf numFmtId="0" fontId="87" fillId="7" borderId="0" xfId="0" applyFont="1" applyFill="1" applyAlignment="1">
      <alignment horizontal="center"/>
    </xf>
    <xf numFmtId="0" fontId="87" fillId="7" borderId="0" xfId="0" applyFont="1" applyFill="1" applyAlignment="1">
      <alignment horizontal="left" vertical="top"/>
    </xf>
    <xf numFmtId="0" fontId="87" fillId="0" borderId="0" xfId="0" applyFont="1" applyAlignment="1">
      <alignment horizontal="center"/>
    </xf>
    <xf numFmtId="0" fontId="24" fillId="0" borderId="0" xfId="0" quotePrefix="1" applyFont="1" applyAlignment="1">
      <alignment horizontal="left"/>
    </xf>
    <xf numFmtId="0" fontId="5" fillId="0" borderId="0" xfId="0" applyFont="1" applyAlignment="1">
      <alignment horizontal="left" indent="4"/>
    </xf>
    <xf numFmtId="0" fontId="57" fillId="0" borderId="0" xfId="0" applyFont="1" applyAlignment="1">
      <alignment horizontal="left"/>
    </xf>
    <xf numFmtId="0" fontId="52" fillId="0" borderId="0" xfId="0" applyFont="1" applyAlignment="1">
      <alignment horizontal="left"/>
    </xf>
    <xf numFmtId="0" fontId="62" fillId="0" borderId="0" xfId="0" applyFont="1" applyAlignment="1">
      <alignment horizontal="left"/>
    </xf>
    <xf numFmtId="0" fontId="52" fillId="0" borderId="0" xfId="0" applyFont="1" applyAlignment="1">
      <alignment horizontal="left" vertical="center"/>
    </xf>
    <xf numFmtId="0" fontId="65" fillId="0" borderId="0" xfId="0" applyFont="1" applyAlignment="1">
      <alignment horizontal="center"/>
    </xf>
    <xf numFmtId="0" fontId="30" fillId="0" borderId="15" xfId="0" applyFont="1" applyBorder="1" applyAlignment="1">
      <alignment horizontal="center" vertical="center"/>
    </xf>
    <xf numFmtId="0" fontId="57" fillId="0" borderId="30" xfId="0" applyFont="1" applyBorder="1" applyAlignment="1">
      <alignment horizontal="right" vertical="center"/>
    </xf>
    <xf numFmtId="0" fontId="57" fillId="0" borderId="36" xfId="0" applyFont="1" applyBorder="1" applyAlignment="1">
      <alignment horizontal="right" vertical="center"/>
    </xf>
    <xf numFmtId="0" fontId="57" fillId="0" borderId="31" xfId="0" applyFont="1" applyBorder="1" applyAlignment="1">
      <alignment horizontal="left" vertical="top"/>
    </xf>
    <xf numFmtId="0" fontId="60" fillId="0" borderId="31" xfId="0" applyFont="1" applyBorder="1" applyAlignment="1" applyProtection="1">
      <alignment horizontal="center"/>
      <protection hidden="1"/>
    </xf>
    <xf numFmtId="0" fontId="53" fillId="0" borderId="31" xfId="0" applyFont="1" applyBorder="1" applyAlignment="1" applyProtection="1">
      <alignment horizontal="center" vertical="center"/>
      <protection hidden="1"/>
    </xf>
    <xf numFmtId="0" fontId="30" fillId="0" borderId="0" xfId="0" applyFont="1" applyAlignment="1">
      <alignment horizontal="left" indent="4"/>
    </xf>
    <xf numFmtId="0" fontId="60" fillId="0" borderId="0" xfId="0" applyFont="1" applyAlignment="1">
      <alignment horizontal="left" vertical="top"/>
    </xf>
    <xf numFmtId="0" fontId="60" fillId="0" borderId="0" xfId="0" applyFont="1"/>
    <xf numFmtId="0" fontId="24" fillId="0" borderId="0" xfId="0" applyFont="1" applyAlignment="1">
      <alignment horizontal="left" vertical="top"/>
    </xf>
    <xf numFmtId="0" fontId="53" fillId="0" borderId="0" xfId="0" applyFont="1" applyAlignment="1">
      <alignment horizontal="center" vertical="center"/>
    </xf>
    <xf numFmtId="0" fontId="92" fillId="0" borderId="0" xfId="0" applyFont="1" applyAlignment="1">
      <alignment horizontal="left" vertical="top" indent="1"/>
    </xf>
    <xf numFmtId="0" fontId="93" fillId="0" borderId="0" xfId="0" applyFont="1" applyAlignment="1">
      <alignment horizontal="left" indent="1"/>
    </xf>
    <xf numFmtId="0" fontId="93" fillId="0" borderId="0" xfId="0" applyFont="1"/>
    <xf numFmtId="0" fontId="16" fillId="5" borderId="0" xfId="0" applyFont="1" applyFill="1"/>
    <xf numFmtId="0" fontId="57" fillId="0" borderId="37" xfId="0" applyFont="1" applyBorder="1"/>
    <xf numFmtId="0" fontId="57" fillId="0" borderId="31" xfId="0" applyFont="1" applyBorder="1" applyAlignment="1">
      <alignment horizontal="center"/>
    </xf>
    <xf numFmtId="0" fontId="57" fillId="0" borderId="15" xfId="0" quotePrefix="1" applyFont="1" applyBorder="1" applyAlignment="1">
      <alignment horizontal="center" vertical="center"/>
    </xf>
    <xf numFmtId="2" fontId="5" fillId="0" borderId="17" xfId="0" applyNumberFormat="1" applyFont="1" applyBorder="1" applyAlignment="1" applyProtection="1">
      <alignment horizontal="center" vertical="center" shrinkToFit="1"/>
      <protection locked="0"/>
    </xf>
    <xf numFmtId="0" fontId="58" fillId="0" borderId="17" xfId="0" applyFont="1" applyBorder="1" applyAlignment="1">
      <alignment horizontal="center" vertical="center" shrinkToFit="1"/>
    </xf>
    <xf numFmtId="0" fontId="52" fillId="0" borderId="17" xfId="0" applyFont="1" applyBorder="1" applyAlignment="1">
      <alignment horizontal="center" vertical="center" shrinkToFit="1"/>
    </xf>
    <xf numFmtId="0" fontId="9" fillId="0" borderId="0" xfId="0" applyFont="1" applyAlignment="1">
      <alignment horizontal="center" vertical="center"/>
    </xf>
    <xf numFmtId="0" fontId="72" fillId="0" borderId="13" xfId="0" applyFont="1" applyBorder="1" applyAlignment="1">
      <alignment horizontal="center" shrinkToFit="1"/>
    </xf>
    <xf numFmtId="0" fontId="30" fillId="0" borderId="0" xfId="0" applyFont="1" applyAlignment="1">
      <alignment horizontal="left" vertical="center" indent="4"/>
    </xf>
    <xf numFmtId="0" fontId="94" fillId="0" borderId="30" xfId="0" applyFont="1" applyBorder="1" applyAlignment="1">
      <alignment horizontal="center"/>
    </xf>
    <xf numFmtId="0" fontId="65" fillId="0" borderId="0" xfId="0" applyFont="1" applyAlignment="1">
      <alignment horizontal="left" indent="2"/>
    </xf>
    <xf numFmtId="0" fontId="66" fillId="0" borderId="0" xfId="0" applyFont="1" applyAlignment="1">
      <alignment horizontal="left"/>
    </xf>
    <xf numFmtId="0" fontId="21" fillId="0" borderId="0" xfId="0" applyFont="1" applyAlignment="1">
      <alignment horizontal="left" indent="4"/>
    </xf>
    <xf numFmtId="0" fontId="1" fillId="0" borderId="91" xfId="0" applyFont="1" applyBorder="1"/>
    <xf numFmtId="0" fontId="1" fillId="0" borderId="92" xfId="0" applyFont="1" applyBorder="1"/>
    <xf numFmtId="0" fontId="60" fillId="5" borderId="40" xfId="0" applyFont="1" applyFill="1" applyBorder="1" applyAlignment="1">
      <alignment horizontal="center"/>
    </xf>
    <xf numFmtId="0" fontId="60" fillId="5" borderId="31" xfId="0" quotePrefix="1" applyFont="1" applyFill="1" applyBorder="1" applyAlignment="1">
      <alignment horizontal="center"/>
    </xf>
    <xf numFmtId="0" fontId="65" fillId="5" borderId="39" xfId="0" applyFont="1" applyFill="1" applyBorder="1" applyAlignment="1">
      <alignment horizontal="right" vertical="center"/>
    </xf>
    <xf numFmtId="0" fontId="65" fillId="5" borderId="30" xfId="0" applyFont="1" applyFill="1" applyBorder="1" applyAlignment="1">
      <alignment horizontal="right" vertical="center"/>
    </xf>
    <xf numFmtId="0" fontId="40" fillId="0" borderId="0" xfId="0" applyFont="1" applyAlignment="1">
      <alignment horizontal="left" indent="1"/>
    </xf>
    <xf numFmtId="0" fontId="27" fillId="0" borderId="0" xfId="0" applyFont="1" applyAlignment="1">
      <alignment horizontal="left" vertical="center"/>
    </xf>
    <xf numFmtId="0" fontId="40" fillId="0" borderId="0" xfId="0" applyFont="1" applyAlignment="1">
      <alignment horizontal="left"/>
    </xf>
    <xf numFmtId="0" fontId="54" fillId="0" borderId="0" xfId="0" applyFont="1" applyAlignment="1">
      <alignment horizontal="left" vertical="center"/>
    </xf>
    <xf numFmtId="0" fontId="40" fillId="0" borderId="0" xfId="0" applyFont="1" applyAlignment="1">
      <alignment horizontal="right"/>
    </xf>
    <xf numFmtId="0" fontId="46" fillId="0" borderId="0" xfId="0" applyFont="1"/>
    <xf numFmtId="0" fontId="45" fillId="0" borderId="0" xfId="0" applyFont="1"/>
    <xf numFmtId="0" fontId="9" fillId="5" borderId="73" xfId="0" applyFont="1" applyFill="1" applyBorder="1"/>
    <xf numFmtId="0" fontId="56" fillId="5" borderId="73" xfId="0" applyFont="1" applyFill="1" applyBorder="1" applyAlignment="1">
      <alignment horizontal="left" indent="2"/>
    </xf>
    <xf numFmtId="0" fontId="1" fillId="5" borderId="73" xfId="0" applyFont="1" applyFill="1" applyBorder="1"/>
    <xf numFmtId="0" fontId="27" fillId="5" borderId="73" xfId="0" applyFont="1" applyFill="1" applyBorder="1"/>
    <xf numFmtId="0" fontId="46" fillId="0" borderId="0" xfId="0" applyFont="1" applyAlignment="1">
      <alignment horizontal="right"/>
    </xf>
    <xf numFmtId="0" fontId="63" fillId="0" borderId="0" xfId="0" applyFont="1" applyAlignment="1">
      <alignment horizontal="left"/>
    </xf>
    <xf numFmtId="0" fontId="72" fillId="5" borderId="73" xfId="0" applyFont="1" applyFill="1" applyBorder="1" applyAlignment="1">
      <alignment horizontal="center"/>
    </xf>
    <xf numFmtId="0" fontId="52" fillId="0" borderId="0" xfId="0" quotePrefix="1" applyFont="1" applyAlignment="1">
      <alignment horizontal="left" vertical="center" indent="1"/>
    </xf>
    <xf numFmtId="0" fontId="100" fillId="0" borderId="0" xfId="0" applyFont="1"/>
    <xf numFmtId="0" fontId="63" fillId="5" borderId="85" xfId="0" applyFont="1" applyFill="1" applyBorder="1" applyAlignment="1">
      <alignment horizontal="center" vertical="center"/>
    </xf>
    <xf numFmtId="0" fontId="63" fillId="5" borderId="0" xfId="0" applyFont="1" applyFill="1" applyAlignment="1">
      <alignment horizontal="center" vertical="center"/>
    </xf>
    <xf numFmtId="2" fontId="5" fillId="0" borderId="0" xfId="0" applyNumberFormat="1" applyFont="1" applyAlignment="1" applyProtection="1">
      <alignment vertical="center"/>
      <protection locked="0"/>
    </xf>
    <xf numFmtId="0" fontId="65" fillId="5" borderId="81" xfId="0" applyFont="1" applyFill="1" applyBorder="1" applyAlignment="1">
      <alignment horizontal="center" vertical="center"/>
    </xf>
    <xf numFmtId="0" fontId="65" fillId="5" borderId="80" xfId="0" applyFont="1" applyFill="1" applyBorder="1" applyAlignment="1">
      <alignment horizontal="center"/>
    </xf>
    <xf numFmtId="0" fontId="65" fillId="5" borderId="80" xfId="0" applyFont="1" applyFill="1" applyBorder="1" applyAlignment="1">
      <alignment horizontal="center" vertical="center"/>
    </xf>
    <xf numFmtId="0" fontId="65" fillId="5" borderId="83" xfId="0" applyFont="1" applyFill="1" applyBorder="1" applyAlignment="1">
      <alignment horizontal="center" vertical="center"/>
    </xf>
    <xf numFmtId="0" fontId="64" fillId="5" borderId="12" xfId="0" applyFont="1" applyFill="1" applyBorder="1" applyAlignment="1">
      <alignment horizontal="center" vertical="center"/>
    </xf>
    <xf numFmtId="0" fontId="9" fillId="0" borderId="0" xfId="0" applyFont="1" applyAlignment="1">
      <alignment horizontal="left" indent="1"/>
    </xf>
    <xf numFmtId="0" fontId="105" fillId="0" borderId="0" xfId="0" applyFont="1" applyAlignment="1">
      <alignment horizontal="left" indent="1"/>
    </xf>
    <xf numFmtId="0" fontId="100" fillId="0" borderId="0" xfId="0" applyFont="1" applyAlignment="1">
      <alignment horizontal="left" indent="1"/>
    </xf>
    <xf numFmtId="0" fontId="21" fillId="0" borderId="73" xfId="0" applyFont="1" applyBorder="1"/>
    <xf numFmtId="0" fontId="107" fillId="0" borderId="0" xfId="0" applyFont="1" applyAlignment="1">
      <alignment horizontal="left" indent="1"/>
    </xf>
    <xf numFmtId="0" fontId="52" fillId="0" borderId="73" xfId="0" applyFont="1" applyBorder="1"/>
    <xf numFmtId="0" fontId="52" fillId="0" borderId="73" xfId="0" applyFont="1" applyBorder="1" applyAlignment="1">
      <alignment horizontal="center"/>
    </xf>
    <xf numFmtId="0" fontId="60" fillId="0" borderId="13" xfId="0" applyFont="1" applyBorder="1" applyAlignment="1">
      <alignment horizontal="right"/>
    </xf>
    <xf numFmtId="0" fontId="52" fillId="0" borderId="79" xfId="0" applyFont="1" applyBorder="1"/>
    <xf numFmtId="0" fontId="60" fillId="0" borderId="14" xfId="0" applyFont="1" applyBorder="1" applyAlignment="1">
      <alignment horizontal="center"/>
    </xf>
    <xf numFmtId="2" fontId="60" fillId="0" borderId="14" xfId="0" applyNumberFormat="1" applyFont="1" applyBorder="1" applyAlignment="1" applyProtection="1">
      <alignment horizontal="center"/>
      <protection locked="0"/>
    </xf>
    <xf numFmtId="0" fontId="100" fillId="0" borderId="0" xfId="0" applyFont="1" applyAlignment="1">
      <alignment horizontal="left" indent="9"/>
    </xf>
    <xf numFmtId="0" fontId="5" fillId="5" borderId="10" xfId="0" applyFont="1" applyFill="1" applyBorder="1" applyAlignment="1">
      <alignment horizontal="left" indent="1"/>
    </xf>
    <xf numFmtId="0" fontId="47" fillId="5" borderId="10" xfId="0" applyFont="1" applyFill="1" applyBorder="1" applyAlignment="1">
      <alignment horizontal="left" vertical="center"/>
    </xf>
    <xf numFmtId="0" fontId="46" fillId="5" borderId="10" xfId="0" applyFont="1" applyFill="1" applyBorder="1" applyAlignment="1">
      <alignment horizontal="left" vertical="center"/>
    </xf>
    <xf numFmtId="0" fontId="47" fillId="5" borderId="10" xfId="0" applyFont="1" applyFill="1" applyBorder="1" applyAlignment="1">
      <alignment horizontal="right"/>
    </xf>
    <xf numFmtId="0" fontId="5" fillId="5" borderId="10" xfId="0" applyFont="1" applyFill="1" applyBorder="1" applyAlignment="1">
      <alignment horizontal="center" vertical="top"/>
    </xf>
    <xf numFmtId="0" fontId="47" fillId="5" borderId="10" xfId="0" applyFont="1" applyFill="1" applyBorder="1" applyAlignment="1">
      <alignment horizontal="left"/>
    </xf>
    <xf numFmtId="0" fontId="46" fillId="5" borderId="10" xfId="0" applyFont="1" applyFill="1" applyBorder="1" applyAlignment="1">
      <alignment horizontal="left"/>
    </xf>
    <xf numFmtId="0" fontId="5" fillId="5" borderId="10" xfId="0" applyFont="1" applyFill="1" applyBorder="1" applyAlignment="1">
      <alignment horizontal="left"/>
    </xf>
    <xf numFmtId="0" fontId="5" fillId="5" borderId="10" xfId="0" quotePrefix="1" applyFont="1" applyFill="1" applyBorder="1" applyAlignment="1">
      <alignment horizontal="right"/>
    </xf>
    <xf numFmtId="0" fontId="5" fillId="5" borderId="10" xfId="0" applyFont="1" applyFill="1" applyBorder="1" applyAlignment="1">
      <alignment horizontal="right"/>
    </xf>
    <xf numFmtId="0" fontId="5" fillId="5" borderId="10" xfId="0" applyFont="1" applyFill="1" applyBorder="1" applyAlignment="1">
      <alignment horizontal="left" vertical="center" indent="1"/>
    </xf>
    <xf numFmtId="0" fontId="24" fillId="5" borderId="10" xfId="0" applyFont="1" applyFill="1" applyBorder="1" applyAlignment="1">
      <alignment horizontal="left" indent="1"/>
    </xf>
    <xf numFmtId="2" fontId="60" fillId="5" borderId="10" xfId="0" applyNumberFormat="1" applyFont="1" applyFill="1" applyBorder="1" applyAlignment="1">
      <alignment horizontal="right" vertical="center" indent="1"/>
    </xf>
    <xf numFmtId="0" fontId="65" fillId="5" borderId="10" xfId="0" applyFont="1" applyFill="1" applyBorder="1" applyAlignment="1">
      <alignment horizontal="left" vertical="center" indent="2"/>
    </xf>
    <xf numFmtId="0" fontId="1" fillId="5" borderId="10" xfId="0" applyFont="1" applyFill="1" applyBorder="1" applyAlignment="1">
      <alignment horizontal="left" indent="1"/>
    </xf>
    <xf numFmtId="0" fontId="65" fillId="5" borderId="10" xfId="0" applyFont="1" applyFill="1" applyBorder="1" applyAlignment="1">
      <alignment horizontal="left" vertical="center" indent="1"/>
    </xf>
    <xf numFmtId="0" fontId="1" fillId="5" borderId="10" xfId="0" applyFont="1" applyFill="1" applyBorder="1" applyAlignment="1">
      <alignment horizontal="left"/>
    </xf>
    <xf numFmtId="0" fontId="8" fillId="5" borderId="10" xfId="0" applyFont="1" applyFill="1" applyBorder="1" applyAlignment="1">
      <alignment horizontal="left" indent="1"/>
    </xf>
    <xf numFmtId="0" fontId="98" fillId="0" borderId="0" xfId="0" applyFont="1" applyAlignment="1">
      <alignment horizontal="left" indent="1"/>
    </xf>
    <xf numFmtId="0" fontId="98" fillId="0" borderId="0" xfId="0" applyFont="1" applyAlignment="1">
      <alignment horizontal="right" indent="1"/>
    </xf>
    <xf numFmtId="0" fontId="5" fillId="5" borderId="10" xfId="0" quotePrefix="1" applyFont="1" applyFill="1" applyBorder="1" applyAlignment="1">
      <alignment horizontal="left" indent="4"/>
    </xf>
    <xf numFmtId="0" fontId="63" fillId="5" borderId="10" xfId="0" applyFont="1" applyFill="1" applyBorder="1" applyAlignment="1">
      <alignment horizontal="left" vertical="center"/>
    </xf>
    <xf numFmtId="0" fontId="65" fillId="5" borderId="10" xfId="0" applyFont="1" applyFill="1" applyBorder="1" applyAlignment="1">
      <alignment horizontal="left" vertical="center"/>
    </xf>
    <xf numFmtId="0" fontId="8" fillId="5" borderId="10" xfId="0" applyFont="1" applyFill="1" applyBorder="1" applyAlignment="1">
      <alignment horizontal="right" indent="1"/>
    </xf>
    <xf numFmtId="0" fontId="39" fillId="0" borderId="0" xfId="0" applyFont="1" applyAlignment="1">
      <alignment horizontal="center" vertical="center"/>
    </xf>
    <xf numFmtId="0" fontId="39" fillId="0" borderId="0" xfId="0" applyFont="1" applyAlignment="1">
      <alignment horizontal="center"/>
    </xf>
    <xf numFmtId="4" fontId="39" fillId="0" borderId="0" xfId="0" applyNumberFormat="1" applyFont="1"/>
    <xf numFmtId="0" fontId="108" fillId="0" borderId="0" xfId="0" applyFont="1"/>
    <xf numFmtId="0" fontId="39" fillId="0" borderId="0" xfId="0" applyFont="1" applyAlignment="1">
      <alignment horizontal="left" vertical="top"/>
    </xf>
    <xf numFmtId="0" fontId="39" fillId="0" borderId="0" xfId="0" applyFont="1" applyAlignment="1">
      <alignment horizontal="left" indent="6"/>
    </xf>
    <xf numFmtId="0" fontId="39" fillId="0" borderId="0" xfId="0" quotePrefix="1" applyFont="1"/>
    <xf numFmtId="0" fontId="39" fillId="0" borderId="0" xfId="0" applyFont="1" applyAlignment="1">
      <alignment horizontal="left" indent="3"/>
    </xf>
    <xf numFmtId="0" fontId="39" fillId="0" borderId="0" xfId="0" applyFont="1" applyAlignment="1">
      <alignment horizontal="left" indent="2"/>
    </xf>
    <xf numFmtId="0" fontId="39" fillId="0" borderId="0" xfId="0" applyFont="1" applyAlignment="1">
      <alignment horizontal="left"/>
    </xf>
    <xf numFmtId="0" fontId="39" fillId="0" borderId="0" xfId="0" applyFont="1" applyAlignment="1">
      <alignment horizontal="right"/>
    </xf>
    <xf numFmtId="0" fontId="39" fillId="0" borderId="0" xfId="0" applyFont="1" applyAlignment="1">
      <alignment horizontal="right" wrapText="1"/>
    </xf>
    <xf numFmtId="0" fontId="109" fillId="0" borderId="0" xfId="0" applyFont="1"/>
    <xf numFmtId="0" fontId="110" fillId="0" borderId="0" xfId="0" applyFont="1"/>
    <xf numFmtId="0" fontId="39" fillId="0" borderId="0" xfId="0" applyFont="1" applyAlignment="1">
      <alignment horizontal="left" indent="11"/>
    </xf>
    <xf numFmtId="0" fontId="39" fillId="0" borderId="0" xfId="0" applyFont="1" applyAlignment="1">
      <alignment horizontal="left" indent="12"/>
    </xf>
    <xf numFmtId="0" fontId="39" fillId="0" borderId="0" xfId="0" applyFont="1" applyAlignment="1">
      <alignment horizontal="left" vertical="center"/>
    </xf>
    <xf numFmtId="0" fontId="39" fillId="0" borderId="0" xfId="0" applyFont="1" applyAlignment="1">
      <alignment horizontal="left" indent="16"/>
    </xf>
    <xf numFmtId="0" fontId="39" fillId="5" borderId="10" xfId="0" applyFont="1" applyFill="1" applyBorder="1"/>
    <xf numFmtId="0" fontId="95" fillId="0" borderId="0" xfId="0" applyFont="1"/>
    <xf numFmtId="0" fontId="88" fillId="0" borderId="42" xfId="0" applyFont="1" applyBorder="1" applyAlignment="1">
      <alignment horizontal="center"/>
    </xf>
    <xf numFmtId="0" fontId="89" fillId="0" borderId="42" xfId="0" applyFont="1" applyBorder="1" applyAlignment="1">
      <alignment horizontal="left" vertical="top"/>
    </xf>
    <xf numFmtId="0" fontId="88" fillId="0" borderId="42" xfId="0" applyFont="1" applyBorder="1"/>
    <xf numFmtId="0" fontId="90" fillId="0" borderId="42" xfId="0" applyFont="1" applyBorder="1" applyAlignment="1">
      <alignment vertical="center" wrapText="1"/>
    </xf>
    <xf numFmtId="0" fontId="91" fillId="0" borderId="42" xfId="0" applyFont="1" applyBorder="1" applyAlignment="1">
      <alignment horizontal="center"/>
    </xf>
    <xf numFmtId="0" fontId="89" fillId="8" borderId="42" xfId="0" applyFont="1" applyFill="1" applyBorder="1" applyAlignment="1">
      <alignment horizontal="left" vertical="top"/>
    </xf>
    <xf numFmtId="2" fontId="5" fillId="0" borderId="78" xfId="0" applyNumberFormat="1" applyFont="1" applyBorder="1" applyAlignment="1" applyProtection="1">
      <alignment horizontal="center"/>
      <protection locked="0"/>
    </xf>
    <xf numFmtId="0" fontId="0" fillId="0" borderId="76" xfId="0" applyBorder="1" applyAlignment="1">
      <alignment horizontal="center"/>
    </xf>
    <xf numFmtId="2" fontId="5" fillId="0" borderId="76" xfId="0" applyNumberFormat="1" applyFont="1" applyBorder="1" applyAlignment="1" applyProtection="1">
      <alignment horizontal="center"/>
      <protection locked="0"/>
    </xf>
    <xf numFmtId="0" fontId="3" fillId="0" borderId="0" xfId="0" applyFont="1" applyAlignment="1" applyProtection="1">
      <alignment horizontal="center"/>
      <protection locked="0"/>
    </xf>
    <xf numFmtId="0" fontId="39" fillId="0" borderId="10" xfId="0" applyFont="1" applyBorder="1"/>
    <xf numFmtId="0" fontId="39" fillId="0" borderId="10" xfId="0" applyFont="1" applyBorder="1" applyAlignment="1">
      <alignment horizontal="left" indent="7"/>
    </xf>
    <xf numFmtId="0" fontId="39" fillId="0" borderId="10" xfId="0" applyFont="1" applyBorder="1" applyAlignment="1">
      <alignment horizontal="left" indent="2"/>
    </xf>
    <xf numFmtId="0" fontId="39" fillId="5" borderId="10" xfId="0" quotePrefix="1" applyFont="1" applyFill="1" applyBorder="1"/>
    <xf numFmtId="0" fontId="39" fillId="5" borderId="10" xfId="0" applyFont="1" applyFill="1" applyBorder="1" applyAlignment="1">
      <alignment horizontal="left" indent="4"/>
    </xf>
    <xf numFmtId="0" fontId="39" fillId="0" borderId="10" xfId="0" applyFont="1" applyBorder="1" applyAlignment="1">
      <alignment horizontal="left" indent="6"/>
    </xf>
    <xf numFmtId="0" fontId="39" fillId="0" borderId="10" xfId="0" applyFont="1" applyBorder="1" applyAlignment="1">
      <alignment horizontal="left"/>
    </xf>
    <xf numFmtId="0" fontId="45" fillId="0" borderId="0" xfId="0" applyFont="1" applyAlignment="1">
      <alignment horizontal="left" vertical="center" indent="6"/>
    </xf>
    <xf numFmtId="0" fontId="45" fillId="0" borderId="0" xfId="0" applyFont="1" applyAlignment="1">
      <alignment horizontal="left" indent="1"/>
    </xf>
    <xf numFmtId="0" fontId="45" fillId="0" borderId="0" xfId="0" applyFont="1" applyAlignment="1">
      <alignment horizontal="left" indent="4"/>
    </xf>
    <xf numFmtId="0" fontId="54" fillId="0" borderId="0" xfId="0" applyFont="1" applyAlignment="1">
      <alignment horizontal="left" indent="2"/>
    </xf>
    <xf numFmtId="0" fontId="84" fillId="0" borderId="0" xfId="0" applyFont="1" applyAlignment="1">
      <alignment horizontal="left" indent="2"/>
    </xf>
    <xf numFmtId="0" fontId="25" fillId="0" borderId="0" xfId="0" applyFont="1" applyAlignment="1">
      <alignment horizontal="left" indent="5"/>
    </xf>
    <xf numFmtId="0" fontId="83" fillId="0" borderId="36" xfId="0" applyFont="1" applyBorder="1" applyAlignment="1">
      <alignment horizontal="center"/>
    </xf>
    <xf numFmtId="0" fontId="86" fillId="0" borderId="36" xfId="0" applyFont="1" applyBorder="1" applyAlignment="1">
      <alignment horizontal="center" vertical="center"/>
    </xf>
    <xf numFmtId="0" fontId="96" fillId="0" borderId="0" xfId="0" applyFont="1" applyAlignment="1">
      <alignment horizontal="left" vertical="center" indent="1"/>
    </xf>
    <xf numFmtId="0" fontId="83" fillId="0" borderId="0" xfId="0" applyFont="1" applyAlignment="1">
      <alignment horizontal="left" indent="1"/>
    </xf>
    <xf numFmtId="0" fontId="44" fillId="0" borderId="0" xfId="0" applyFont="1"/>
    <xf numFmtId="0" fontId="57" fillId="0" borderId="17" xfId="0" applyFont="1" applyBorder="1" applyAlignment="1">
      <alignment horizontal="center" vertical="center"/>
    </xf>
    <xf numFmtId="0" fontId="61" fillId="0" borderId="0" xfId="0" applyFont="1" applyAlignment="1">
      <alignment vertical="center" shrinkToFit="1"/>
    </xf>
    <xf numFmtId="0" fontId="61" fillId="0" borderId="0" xfId="0" applyFont="1" applyAlignment="1" applyProtection="1">
      <alignment shrinkToFit="1"/>
      <protection hidden="1"/>
    </xf>
    <xf numFmtId="2" fontId="52" fillId="0" borderId="17" xfId="0" applyNumberFormat="1" applyFont="1" applyBorder="1" applyAlignment="1" applyProtection="1">
      <alignment horizontal="center" vertical="center" shrinkToFit="1"/>
      <protection locked="0"/>
    </xf>
    <xf numFmtId="0" fontId="52" fillId="0" borderId="17" xfId="0" applyFont="1" applyBorder="1" applyAlignment="1" applyProtection="1">
      <alignment horizontal="center" vertical="center" shrinkToFit="1"/>
      <protection hidden="1"/>
    </xf>
    <xf numFmtId="0" fontId="52" fillId="5" borderId="17" xfId="0" applyFont="1" applyFill="1" applyBorder="1" applyAlignment="1" applyProtection="1">
      <alignment horizontal="center" vertical="center" shrinkToFit="1"/>
      <protection hidden="1"/>
    </xf>
    <xf numFmtId="0" fontId="40" fillId="0" borderId="0" xfId="0" applyFont="1" applyAlignment="1">
      <alignment horizontal="left" indent="10"/>
    </xf>
    <xf numFmtId="0" fontId="112" fillId="0" borderId="0" xfId="0" applyFont="1" applyAlignment="1">
      <alignment horizontal="center"/>
    </xf>
    <xf numFmtId="0" fontId="82" fillId="0" borderId="0" xfId="0" applyFont="1" applyAlignment="1">
      <alignment horizontal="center"/>
    </xf>
    <xf numFmtId="2" fontId="72" fillId="0" borderId="31" xfId="0" applyNumberFormat="1" applyFont="1" applyBorder="1" applyAlignment="1" applyProtection="1">
      <alignment horizontal="center" vertical="center"/>
      <protection locked="0" hidden="1"/>
    </xf>
    <xf numFmtId="0" fontId="57" fillId="0" borderId="107" xfId="0" applyFont="1" applyBorder="1" applyAlignment="1">
      <alignment horizontal="center" vertical="center"/>
    </xf>
    <xf numFmtId="2" fontId="57" fillId="0" borderId="106" xfId="0" applyNumberFormat="1" applyFont="1" applyBorder="1" applyAlignment="1" applyProtection="1">
      <alignment horizontal="center" vertical="center"/>
      <protection locked="0"/>
    </xf>
    <xf numFmtId="2" fontId="2" fillId="0" borderId="0" xfId="0" applyNumberFormat="1" applyFont="1" applyAlignment="1">
      <alignment horizontal="left" indent="1"/>
    </xf>
    <xf numFmtId="0" fontId="52" fillId="0" borderId="77" xfId="0" applyFont="1" applyBorder="1" applyAlignment="1">
      <alignment horizontal="center"/>
    </xf>
    <xf numFmtId="2" fontId="52" fillId="0" borderId="17" xfId="0" applyNumberFormat="1" applyFont="1" applyBorder="1" applyAlignment="1" applyProtection="1">
      <alignment horizontal="center"/>
      <protection locked="0"/>
    </xf>
    <xf numFmtId="0" fontId="52" fillId="0" borderId="17" xfId="0" applyFont="1" applyBorder="1" applyAlignment="1">
      <alignment horizontal="center"/>
    </xf>
    <xf numFmtId="0" fontId="1" fillId="0" borderId="93" xfId="0" applyFont="1" applyBorder="1"/>
    <xf numFmtId="0" fontId="1" fillId="0" borderId="108" xfId="0" applyFont="1" applyBorder="1"/>
    <xf numFmtId="0" fontId="83" fillId="0" borderId="73" xfId="0" applyFont="1" applyBorder="1" applyAlignment="1">
      <alignment horizontal="left" indent="1"/>
    </xf>
    <xf numFmtId="0" fontId="1" fillId="0" borderId="73" xfId="0" applyFont="1" applyBorder="1" applyAlignment="1">
      <alignment horizontal="left" indent="1"/>
    </xf>
    <xf numFmtId="0" fontId="33" fillId="0" borderId="0" xfId="0" applyFont="1" applyAlignment="1">
      <alignment horizontal="left" indent="2"/>
    </xf>
    <xf numFmtId="2" fontId="30" fillId="0" borderId="14" xfId="0" applyNumberFormat="1" applyFont="1" applyBorder="1" applyAlignment="1" applyProtection="1">
      <alignment horizontal="center" vertical="center"/>
      <protection locked="0"/>
    </xf>
    <xf numFmtId="0" fontId="19" fillId="0" borderId="13" xfId="0" applyFont="1" applyBorder="1" applyAlignment="1">
      <alignment horizontal="center"/>
    </xf>
    <xf numFmtId="0" fontId="26" fillId="0" borderId="0" xfId="0" applyFont="1" applyAlignment="1">
      <alignment horizontal="right"/>
    </xf>
    <xf numFmtId="0" fontId="26" fillId="0" borderId="0" xfId="0" applyFont="1" applyAlignment="1">
      <alignment horizontal="center"/>
    </xf>
    <xf numFmtId="2" fontId="30" fillId="0" borderId="0" xfId="0" applyNumberFormat="1" applyFont="1" applyAlignment="1">
      <alignment horizontal="center"/>
    </xf>
    <xf numFmtId="0" fontId="47" fillId="0" borderId="13" xfId="0" applyFont="1" applyBorder="1" applyAlignment="1">
      <alignment horizontal="right"/>
    </xf>
    <xf numFmtId="0" fontId="81" fillId="0" borderId="15" xfId="0" applyFont="1" applyBorder="1" applyAlignment="1">
      <alignment horizontal="left" vertical="top"/>
    </xf>
    <xf numFmtId="0" fontId="45" fillId="0" borderId="13" xfId="0" applyFont="1" applyBorder="1" applyAlignment="1">
      <alignment horizontal="center" vertical="center"/>
    </xf>
    <xf numFmtId="0" fontId="96" fillId="0" borderId="13" xfId="0" applyFont="1" applyBorder="1" applyAlignment="1">
      <alignment horizontal="center" vertical="center"/>
    </xf>
    <xf numFmtId="0" fontId="97" fillId="0" borderId="13" xfId="0" applyFont="1" applyBorder="1" applyAlignment="1">
      <alignment horizontal="center" vertical="center"/>
    </xf>
    <xf numFmtId="0" fontId="30" fillId="0" borderId="28" xfId="0" applyFont="1" applyBorder="1" applyAlignment="1">
      <alignment horizontal="center" vertical="center"/>
    </xf>
    <xf numFmtId="0" fontId="47" fillId="0" borderId="0" xfId="0" applyFont="1" applyAlignment="1">
      <alignment horizontal="center" vertical="center" shrinkToFit="1"/>
    </xf>
    <xf numFmtId="0" fontId="69" fillId="0" borderId="0" xfId="0" applyFont="1" applyAlignment="1">
      <alignment horizontal="left"/>
    </xf>
    <xf numFmtId="0" fontId="24" fillId="0" borderId="0" xfId="0" applyFont="1" applyAlignment="1">
      <alignment horizontal="center" shrinkToFit="1"/>
    </xf>
    <xf numFmtId="0" fontId="5" fillId="0" borderId="76" xfId="0" applyFont="1" applyBorder="1"/>
    <xf numFmtId="0" fontId="1" fillId="0" borderId="79" xfId="0" applyFont="1" applyBorder="1" applyAlignment="1">
      <alignment horizontal="left"/>
    </xf>
    <xf numFmtId="0" fontId="21" fillId="0" borderId="76" xfId="0" applyFont="1" applyBorder="1" applyAlignment="1">
      <alignment horizontal="left"/>
    </xf>
    <xf numFmtId="0" fontId="21" fillId="0" borderId="0" xfId="0" applyFont="1" applyAlignment="1">
      <alignment horizontal="center"/>
    </xf>
    <xf numFmtId="0" fontId="106" fillId="0" borderId="0" xfId="0" applyFont="1" applyAlignment="1">
      <alignment horizontal="left"/>
    </xf>
    <xf numFmtId="2" fontId="5" fillId="0" borderId="0" xfId="0" applyNumberFormat="1" applyFont="1" applyAlignment="1" applyProtection="1">
      <alignment horizontal="center"/>
      <protection locked="0" hidden="1"/>
    </xf>
    <xf numFmtId="0" fontId="27" fillId="0" borderId="77" xfId="1" applyFont="1" applyBorder="1" applyAlignment="1">
      <alignment horizontal="left" vertical="center"/>
    </xf>
    <xf numFmtId="0" fontId="1" fillId="0" borderId="109" xfId="0" applyFont="1" applyBorder="1"/>
    <xf numFmtId="0" fontId="1" fillId="0" borderId="90" xfId="0" applyFont="1" applyBorder="1"/>
    <xf numFmtId="0" fontId="61" fillId="5" borderId="92" xfId="0" applyFont="1" applyFill="1" applyBorder="1" applyAlignment="1" applyProtection="1">
      <alignment shrinkToFit="1"/>
      <protection hidden="1"/>
    </xf>
    <xf numFmtId="2" fontId="5" fillId="0" borderId="0" xfId="0" applyNumberFormat="1" applyFont="1" applyAlignment="1">
      <alignment horizontal="right"/>
    </xf>
    <xf numFmtId="0" fontId="60" fillId="0" borderId="13" xfId="0" applyFont="1" applyBorder="1" applyAlignment="1">
      <alignment horizontal="right" vertical="center"/>
    </xf>
    <xf numFmtId="0" fontId="57" fillId="0" borderId="14" xfId="0" applyFont="1" applyBorder="1" applyAlignment="1">
      <alignment horizontal="center" vertical="center"/>
    </xf>
    <xf numFmtId="2" fontId="57" fillId="0" borderId="15" xfId="0" applyNumberFormat="1" applyFont="1" applyBorder="1" applyAlignment="1" applyProtection="1">
      <alignment horizontal="center" vertical="center"/>
      <protection locked="0" hidden="1"/>
    </xf>
    <xf numFmtId="0" fontId="60" fillId="0" borderId="15" xfId="0" applyFont="1" applyBorder="1"/>
    <xf numFmtId="0" fontId="30" fillId="0" borderId="0" xfId="0" applyFont="1" applyAlignment="1">
      <alignment horizontal="right" vertical="center"/>
    </xf>
    <xf numFmtId="0" fontId="8" fillId="0" borderId="0" xfId="0" applyFont="1" applyAlignment="1">
      <alignment vertical="top"/>
    </xf>
    <xf numFmtId="0" fontId="33" fillId="0" borderId="0" xfId="0" applyFont="1" applyAlignment="1">
      <alignment horizontal="left" indent="3"/>
    </xf>
    <xf numFmtId="0" fontId="33" fillId="0" borderId="0" xfId="0" applyFont="1" applyAlignment="1">
      <alignment horizontal="right"/>
    </xf>
    <xf numFmtId="0" fontId="33" fillId="0" borderId="0" xfId="0" applyFont="1" applyAlignment="1">
      <alignment horizontal="center" vertical="center"/>
    </xf>
    <xf numFmtId="0" fontId="9" fillId="0" borderId="0" xfId="0" applyFont="1" applyAlignment="1">
      <alignment horizontal="left"/>
    </xf>
    <xf numFmtId="0" fontId="81" fillId="0" borderId="0" xfId="0" applyFont="1"/>
    <xf numFmtId="0" fontId="5" fillId="0" borderId="0" xfId="0" applyFont="1" applyAlignment="1">
      <alignment horizontal="left" indent="5"/>
    </xf>
    <xf numFmtId="0" fontId="81" fillId="0" borderId="0" xfId="0" applyFont="1" applyAlignment="1">
      <alignment horizontal="right"/>
    </xf>
    <xf numFmtId="2" fontId="30" fillId="0" borderId="0" xfId="0" applyNumberFormat="1" applyFont="1" applyAlignment="1" applyProtection="1">
      <alignment horizontal="center"/>
      <protection locked="0" hidden="1"/>
    </xf>
    <xf numFmtId="2" fontId="24" fillId="0" borderId="0" xfId="0" applyNumberFormat="1" applyFont="1" applyAlignment="1" applyProtection="1">
      <alignment horizontal="center"/>
      <protection locked="0"/>
    </xf>
    <xf numFmtId="0" fontId="33" fillId="0" borderId="0" xfId="0" applyFont="1" applyAlignment="1">
      <alignment vertical="center"/>
    </xf>
    <xf numFmtId="0" fontId="94" fillId="0" borderId="30" xfId="0" applyFont="1" applyBorder="1" applyAlignment="1">
      <alignment horizontal="center" vertical="center"/>
    </xf>
    <xf numFmtId="0" fontId="45" fillId="0" borderId="30" xfId="0" applyFont="1" applyBorder="1" applyAlignment="1">
      <alignment horizontal="center"/>
    </xf>
    <xf numFmtId="0" fontId="1" fillId="0" borderId="0" xfId="0" applyFont="1" applyAlignment="1">
      <alignment horizontal="left" vertical="center" indent="1"/>
    </xf>
    <xf numFmtId="0" fontId="47" fillId="5" borderId="10" xfId="0" applyFont="1" applyFill="1" applyBorder="1" applyAlignment="1">
      <alignment horizontal="right" vertical="center"/>
    </xf>
    <xf numFmtId="0" fontId="5" fillId="5" borderId="10" xfId="0" applyFont="1" applyFill="1" applyBorder="1" applyAlignment="1">
      <alignment horizontal="center" vertical="center"/>
    </xf>
    <xf numFmtId="2" fontId="60" fillId="5" borderId="10" xfId="0" applyNumberFormat="1" applyFont="1" applyFill="1" applyBorder="1" applyAlignment="1">
      <alignment horizontal="center" vertical="center"/>
    </xf>
    <xf numFmtId="0" fontId="57" fillId="0" borderId="18" xfId="0" applyFont="1" applyBorder="1" applyAlignment="1">
      <alignment horizontal="center" vertical="center"/>
    </xf>
    <xf numFmtId="0" fontId="52" fillId="0" borderId="107" xfId="0" applyFont="1" applyBorder="1" applyAlignment="1">
      <alignment horizontal="center" vertical="center"/>
    </xf>
    <xf numFmtId="0" fontId="52" fillId="0" borderId="19" xfId="0" applyFont="1" applyBorder="1" applyAlignment="1">
      <alignment horizontal="center" vertical="center"/>
    </xf>
    <xf numFmtId="0" fontId="85" fillId="0" borderId="0" xfId="0" applyFont="1" applyAlignment="1">
      <alignment horizontal="left" indent="1"/>
    </xf>
    <xf numFmtId="0" fontId="46" fillId="0" borderId="0" xfId="0" applyFont="1" applyAlignment="1">
      <alignment horizontal="left" indent="1"/>
    </xf>
    <xf numFmtId="0" fontId="46" fillId="0" borderId="0" xfId="0" applyFont="1" applyAlignment="1">
      <alignment horizontal="left" indent="2"/>
    </xf>
    <xf numFmtId="0" fontId="46" fillId="0" borderId="0" xfId="0" applyFont="1" applyAlignment="1">
      <alignment horizontal="left" indent="3"/>
    </xf>
    <xf numFmtId="0" fontId="24" fillId="0" borderId="0" xfId="0" applyFont="1" applyAlignment="1">
      <alignment horizontal="left" vertical="center"/>
    </xf>
    <xf numFmtId="0" fontId="8" fillId="0" borderId="17" xfId="0" applyFont="1" applyBorder="1" applyAlignment="1">
      <alignment horizontal="center"/>
    </xf>
    <xf numFmtId="0" fontId="56" fillId="0" borderId="0" xfId="0" applyFont="1"/>
    <xf numFmtId="0" fontId="55" fillId="0" borderId="0" xfId="0" applyFont="1"/>
    <xf numFmtId="0" fontId="16" fillId="0" borderId="0" xfId="0" applyFont="1" applyAlignment="1">
      <alignment horizontal="left"/>
    </xf>
    <xf numFmtId="0" fontId="0" fillId="0" borderId="0" xfId="0" applyAlignment="1">
      <alignment horizontal="center" shrinkToFit="1"/>
    </xf>
    <xf numFmtId="0" fontId="113" fillId="0" borderId="0" xfId="0" applyFont="1"/>
    <xf numFmtId="0" fontId="114" fillId="0" borderId="0" xfId="0" applyFont="1"/>
    <xf numFmtId="0" fontId="114" fillId="0" borderId="0" xfId="0" applyFont="1" applyAlignment="1">
      <alignment horizontal="right" wrapText="1"/>
    </xf>
    <xf numFmtId="0" fontId="115" fillId="0" borderId="0" xfId="0" applyFont="1"/>
    <xf numFmtId="0" fontId="39" fillId="0" borderId="0" xfId="0" applyFont="1" applyAlignment="1">
      <alignment horizontal="left" vertical="center" indent="2"/>
    </xf>
    <xf numFmtId="0" fontId="39" fillId="0" borderId="0" xfId="0" applyFont="1" applyAlignment="1">
      <alignment horizontal="left" indent="19"/>
    </xf>
    <xf numFmtId="0" fontId="69" fillId="0" borderId="10" xfId="0" applyFont="1" applyBorder="1"/>
    <xf numFmtId="0" fontId="113" fillId="0" borderId="10" xfId="0" applyFont="1" applyBorder="1"/>
    <xf numFmtId="0" fontId="39" fillId="0" borderId="10" xfId="0" applyFont="1" applyBorder="1" applyAlignment="1">
      <alignment horizontal="left" indent="8"/>
    </xf>
    <xf numFmtId="0" fontId="39" fillId="0" borderId="10" xfId="0" applyFont="1" applyBorder="1" applyAlignment="1">
      <alignment horizontal="left" indent="9"/>
    </xf>
    <xf numFmtId="0" fontId="117" fillId="0" borderId="0" xfId="0" applyFont="1"/>
    <xf numFmtId="0" fontId="118" fillId="0" borderId="0" xfId="0" applyFont="1"/>
    <xf numFmtId="0" fontId="39" fillId="0" borderId="110" xfId="0" applyFont="1" applyBorder="1"/>
    <xf numFmtId="0" fontId="39" fillId="0" borderId="57" xfId="0" applyFont="1" applyBorder="1"/>
    <xf numFmtId="0" fontId="39" fillId="0" borderId="56" xfId="0" applyFont="1" applyBorder="1"/>
    <xf numFmtId="0" fontId="108" fillId="0" borderId="57" xfId="0" applyFont="1" applyBorder="1" applyAlignment="1">
      <alignment horizontal="center"/>
    </xf>
    <xf numFmtId="0" fontId="44" fillId="0" borderId="57" xfId="0" applyFont="1" applyBorder="1" applyAlignment="1">
      <alignment horizontal="left" indent="3"/>
    </xf>
    <xf numFmtId="0" fontId="44" fillId="0" borderId="56" xfId="0" applyFont="1" applyBorder="1"/>
    <xf numFmtId="0" fontId="69" fillId="0" borderId="110" xfId="0" applyFont="1" applyBorder="1" applyAlignment="1">
      <alignment horizontal="left" indent="3"/>
    </xf>
    <xf numFmtId="0" fontId="69" fillId="0" borderId="0" xfId="0" applyFont="1" applyAlignment="1">
      <alignment horizontal="left" indent="1"/>
    </xf>
    <xf numFmtId="0" fontId="117" fillId="0" borderId="0" xfId="0" applyFont="1" applyAlignment="1">
      <alignment horizontal="left"/>
    </xf>
    <xf numFmtId="0" fontId="120" fillId="0" borderId="0" xfId="0" applyFont="1"/>
    <xf numFmtId="0" fontId="121" fillId="0" borderId="0" xfId="0" applyFont="1"/>
    <xf numFmtId="0" fontId="39" fillId="0" borderId="0" xfId="0" quotePrefix="1" applyFont="1" applyAlignment="1">
      <alignment horizontal="right"/>
    </xf>
    <xf numFmtId="0" fontId="39" fillId="0" borderId="10" xfId="0" applyFont="1" applyBorder="1" applyAlignment="1">
      <alignment horizontal="left" indent="1"/>
    </xf>
    <xf numFmtId="0" fontId="39" fillId="0" borderId="10" xfId="0" applyFont="1" applyBorder="1" applyAlignment="1">
      <alignment horizontal="left" indent="11"/>
    </xf>
    <xf numFmtId="0" fontId="39" fillId="0" borderId="10" xfId="0" applyFont="1" applyBorder="1" applyAlignment="1">
      <alignment horizontal="left" indent="12"/>
    </xf>
    <xf numFmtId="0" fontId="108" fillId="0" borderId="0" xfId="0" quotePrefix="1" applyFont="1" applyAlignment="1">
      <alignment horizontal="right"/>
    </xf>
    <xf numFmtId="0" fontId="108" fillId="0" borderId="0" xfId="0" applyFont="1" applyAlignment="1">
      <alignment horizontal="center"/>
    </xf>
    <xf numFmtId="0" fontId="39" fillId="0" borderId="0" xfId="0" quotePrefix="1" applyFont="1" applyAlignment="1">
      <alignment horizontal="left" indent="18"/>
    </xf>
    <xf numFmtId="0" fontId="44" fillId="0" borderId="0" xfId="0" quotePrefix="1" applyFont="1" applyAlignment="1">
      <alignment horizontal="right"/>
    </xf>
    <xf numFmtId="0" fontId="69" fillId="0" borderId="0" xfId="0" applyFont="1" applyAlignment="1">
      <alignment horizontal="left" indent="3"/>
    </xf>
    <xf numFmtId="0" fontId="44" fillId="0" borderId="0" xfId="0" applyFont="1" applyAlignment="1">
      <alignment horizontal="left" indent="3"/>
    </xf>
    <xf numFmtId="0" fontId="69" fillId="0" borderId="0" xfId="0" applyFont="1" applyAlignment="1">
      <alignment horizontal="left" indent="5"/>
    </xf>
    <xf numFmtId="0" fontId="95" fillId="0" borderId="0" xfId="0" applyFont="1" applyAlignment="1">
      <alignment horizontal="left"/>
    </xf>
    <xf numFmtId="0" fontId="44" fillId="0" borderId="0" xfId="0" applyFont="1" applyAlignment="1">
      <alignment horizontal="left"/>
    </xf>
    <xf numFmtId="0" fontId="44" fillId="0" borderId="0" xfId="0" applyFont="1" applyAlignment="1">
      <alignment horizontal="center"/>
    </xf>
    <xf numFmtId="0" fontId="44" fillId="0" borderId="111" xfId="0" applyFont="1" applyBorder="1" applyAlignment="1">
      <alignment horizontal="left" indent="4"/>
    </xf>
    <xf numFmtId="0" fontId="108" fillId="0" borderId="96" xfId="0" applyFont="1" applyBorder="1"/>
    <xf numFmtId="0" fontId="44" fillId="0" borderId="111" xfId="0" quotePrefix="1" applyFont="1" applyBorder="1" applyAlignment="1">
      <alignment horizontal="right"/>
    </xf>
    <xf numFmtId="0" fontId="108" fillId="0" borderId="111" xfId="0" quotePrefix="1" applyFont="1" applyBorder="1" applyAlignment="1">
      <alignment horizontal="right"/>
    </xf>
    <xf numFmtId="0" fontId="109" fillId="0" borderId="10" xfId="0" applyFont="1" applyBorder="1"/>
    <xf numFmtId="0" fontId="116" fillId="0" borderId="10" xfId="0" applyFont="1" applyBorder="1"/>
    <xf numFmtId="0" fontId="44" fillId="0" borderId="111" xfId="0" applyFont="1" applyBorder="1" applyAlignment="1">
      <alignment horizontal="left" indent="3"/>
    </xf>
    <xf numFmtId="0" fontId="39" fillId="0" borderId="95" xfId="0" applyFont="1" applyBorder="1" applyAlignment="1">
      <alignment horizontal="left" indent="3"/>
    </xf>
    <xf numFmtId="0" fontId="44" fillId="0" borderId="96" xfId="0" applyFont="1" applyBorder="1"/>
    <xf numFmtId="0" fontId="109" fillId="0" borderId="0" xfId="0" applyFont="1" applyAlignment="1">
      <alignment horizontal="left" indent="3"/>
    </xf>
    <xf numFmtId="0" fontId="39" fillId="0" borderId="57" xfId="0" applyFont="1" applyBorder="1" applyAlignment="1">
      <alignment horizontal="left"/>
    </xf>
    <xf numFmtId="0" fontId="69" fillId="0" borderId="95" xfId="0" applyFont="1" applyBorder="1"/>
    <xf numFmtId="0" fontId="69" fillId="0" borderId="95" xfId="0" applyFont="1" applyBorder="1" applyAlignment="1">
      <alignment horizontal="right"/>
    </xf>
    <xf numFmtId="0" fontId="63" fillId="0" borderId="0" xfId="0" applyFont="1"/>
    <xf numFmtId="0" fontId="63" fillId="0" borderId="39" xfId="0" applyFont="1" applyBorder="1" applyAlignment="1">
      <alignment horizontal="right"/>
    </xf>
    <xf numFmtId="0" fontId="63" fillId="0" borderId="105" xfId="0" applyFont="1" applyBorder="1"/>
    <xf numFmtId="0" fontId="53" fillId="0" borderId="40" xfId="0" applyFont="1" applyBorder="1"/>
    <xf numFmtId="0" fontId="63" fillId="0" borderId="89" xfId="0" applyFont="1" applyBorder="1" applyAlignment="1">
      <alignment horizontal="right"/>
    </xf>
    <xf numFmtId="0" fontId="63" fillId="0" borderId="32" xfId="0" applyFont="1" applyBorder="1"/>
    <xf numFmtId="0" fontId="63" fillId="0" borderId="112" xfId="0" applyFont="1" applyBorder="1" applyAlignment="1">
      <alignment horizontal="right"/>
    </xf>
    <xf numFmtId="0" fontId="63" fillId="0" borderId="113" xfId="0" applyFont="1" applyBorder="1"/>
    <xf numFmtId="0" fontId="63" fillId="0" borderId="94" xfId="0" applyFont="1" applyBorder="1"/>
    <xf numFmtId="0" fontId="53" fillId="0" borderId="105" xfId="0" applyFont="1" applyBorder="1"/>
    <xf numFmtId="0" fontId="113" fillId="5" borderId="10" xfId="0" applyFont="1" applyFill="1" applyBorder="1"/>
    <xf numFmtId="0" fontId="95" fillId="0" borderId="10" xfId="0" applyFont="1" applyBorder="1"/>
    <xf numFmtId="0" fontId="95" fillId="0" borderId="11" xfId="0" applyFont="1" applyBorder="1"/>
    <xf numFmtId="0" fontId="0" fillId="0" borderId="42" xfId="0" applyBorder="1"/>
    <xf numFmtId="0" fontId="0" fillId="0" borderId="103" xfId="0" applyBorder="1"/>
    <xf numFmtId="0" fontId="0" fillId="0" borderId="100" xfId="0" applyBorder="1" applyAlignment="1">
      <alignment horizontal="center"/>
    </xf>
    <xf numFmtId="0" fontId="0" fillId="0" borderId="102" xfId="0" applyBorder="1" applyAlignment="1">
      <alignment horizontal="center"/>
    </xf>
    <xf numFmtId="0" fontId="18" fillId="0" borderId="41" xfId="0" applyFont="1" applyBorder="1" applyAlignment="1">
      <alignment horizontal="center" vertical="center"/>
    </xf>
    <xf numFmtId="0" fontId="0" fillId="0" borderId="41" xfId="0" applyBorder="1" applyAlignment="1">
      <alignment horizontal="center" vertical="center"/>
    </xf>
    <xf numFmtId="0" fontId="18" fillId="0" borderId="42" xfId="0" applyFont="1" applyBorder="1" applyAlignment="1">
      <alignment horizontal="center" vertical="center"/>
    </xf>
    <xf numFmtId="0" fontId="123" fillId="0" borderId="0" xfId="0" applyFont="1" applyAlignment="1">
      <alignment vertical="center"/>
    </xf>
    <xf numFmtId="0" fontId="124" fillId="0" borderId="0" xfId="0" applyFont="1" applyAlignment="1">
      <alignment vertical="center"/>
    </xf>
    <xf numFmtId="0" fontId="95" fillId="0" borderId="0" xfId="0" applyFont="1" applyAlignment="1">
      <alignment horizontal="left" vertical="center" indent="1"/>
    </xf>
    <xf numFmtId="0" fontId="44" fillId="0" borderId="0" xfId="0" applyFont="1" applyAlignment="1">
      <alignment horizontal="left" vertical="center" indent="1"/>
    </xf>
    <xf numFmtId="0" fontId="114" fillId="0" borderId="0" xfId="0" applyFont="1" applyAlignment="1">
      <alignment wrapText="1"/>
    </xf>
    <xf numFmtId="0" fontId="0" fillId="0" borderId="101" xfId="0" applyBorder="1"/>
    <xf numFmtId="0" fontId="39" fillId="0" borderId="42" xfId="0" applyFont="1" applyBorder="1"/>
    <xf numFmtId="0" fontId="18" fillId="0" borderId="97" xfId="0" applyFont="1" applyBorder="1" applyAlignment="1">
      <alignment horizontal="center" vertical="top"/>
    </xf>
    <xf numFmtId="0" fontId="18" fillId="0" borderId="98" xfId="0" applyFont="1" applyBorder="1" applyAlignment="1">
      <alignment horizontal="center" vertical="top"/>
    </xf>
    <xf numFmtId="0" fontId="18" fillId="0" borderId="98" xfId="0" applyFont="1" applyBorder="1" applyAlignment="1">
      <alignment horizontal="left" vertical="top" indent="1"/>
    </xf>
    <xf numFmtId="0" fontId="39" fillId="0" borderId="98" xfId="0" applyFont="1" applyBorder="1"/>
    <xf numFmtId="0" fontId="39" fillId="0" borderId="99" xfId="0" applyFont="1" applyBorder="1"/>
    <xf numFmtId="0" fontId="39" fillId="0" borderId="101" xfId="0" applyFont="1" applyBorder="1"/>
    <xf numFmtId="0" fontId="39" fillId="0" borderId="103" xfId="0" applyFont="1" applyBorder="1"/>
    <xf numFmtId="0" fontId="39" fillId="0" borderId="104" xfId="0" applyFont="1" applyBorder="1"/>
    <xf numFmtId="0" fontId="125" fillId="0" borderId="0" xfId="0" applyFont="1"/>
    <xf numFmtId="0" fontId="119" fillId="0" borderId="0" xfId="0" applyFont="1"/>
    <xf numFmtId="0" fontId="0" fillId="0" borderId="96" xfId="0" applyBorder="1"/>
    <xf numFmtId="0" fontId="60" fillId="0" borderId="0" xfId="0" applyFont="1" applyAlignment="1">
      <alignment horizontal="center"/>
    </xf>
    <xf numFmtId="0" fontId="57" fillId="0" borderId="0" xfId="0" applyFont="1" applyAlignment="1" applyProtection="1">
      <alignment horizontal="center"/>
      <protection hidden="1"/>
    </xf>
    <xf numFmtId="0" fontId="52" fillId="0" borderId="0" xfId="0" applyFont="1" applyAlignment="1" applyProtection="1">
      <alignment horizontal="center"/>
      <protection hidden="1"/>
    </xf>
    <xf numFmtId="0" fontId="60" fillId="0" borderId="0" xfId="0" applyFont="1" applyAlignment="1">
      <alignment horizontal="right" indent="1"/>
    </xf>
    <xf numFmtId="0" fontId="126" fillId="0" borderId="0" xfId="0" applyFont="1" applyAlignment="1">
      <alignment horizontal="left" indent="1"/>
    </xf>
    <xf numFmtId="0" fontId="18" fillId="0" borderId="0" xfId="0" applyFont="1" applyAlignment="1">
      <alignment horizontal="center"/>
    </xf>
    <xf numFmtId="2" fontId="0" fillId="0" borderId="42" xfId="0" applyNumberFormat="1" applyBorder="1" applyAlignment="1">
      <alignment horizontal="center" vertical="center" wrapText="1"/>
    </xf>
    <xf numFmtId="165" fontId="0" fillId="0" borderId="42" xfId="0" applyNumberFormat="1" applyBorder="1" applyAlignment="1">
      <alignment horizontal="center" vertical="center" wrapText="1"/>
    </xf>
    <xf numFmtId="0" fontId="85" fillId="0" borderId="0" xfId="0" applyFont="1"/>
    <xf numFmtId="0" fontId="127" fillId="0" borderId="0" xfId="0" applyFont="1" applyAlignment="1">
      <alignment horizontal="left" vertical="center" indent="2"/>
    </xf>
    <xf numFmtId="0" fontId="25" fillId="0" borderId="0" xfId="0" applyFont="1" applyAlignment="1">
      <alignment horizontal="left" indent="3"/>
    </xf>
    <xf numFmtId="0" fontId="20" fillId="0" borderId="0" xfId="0" applyFont="1" applyAlignment="1">
      <alignment horizontal="center"/>
    </xf>
    <xf numFmtId="2" fontId="20" fillId="0" borderId="0" xfId="0" applyNumberFormat="1" applyFont="1" applyAlignment="1">
      <alignment horizontal="center"/>
    </xf>
    <xf numFmtId="0" fontId="129" fillId="0" borderId="0" xfId="0" applyFont="1" applyAlignment="1">
      <alignment horizontal="center"/>
    </xf>
    <xf numFmtId="0" fontId="99" fillId="5" borderId="85" xfId="0" applyFont="1" applyFill="1" applyBorder="1" applyAlignment="1">
      <alignment vertical="center"/>
    </xf>
    <xf numFmtId="0" fontId="99" fillId="5" borderId="85" xfId="0" quotePrefix="1" applyFont="1" applyFill="1" applyBorder="1" applyAlignment="1">
      <alignment vertical="center"/>
    </xf>
    <xf numFmtId="0" fontId="100" fillId="5" borderId="85" xfId="0" applyFont="1" applyFill="1" applyBorder="1" applyAlignment="1">
      <alignment vertical="center"/>
    </xf>
    <xf numFmtId="0" fontId="101" fillId="5" borderId="85" xfId="0" applyFont="1" applyFill="1" applyBorder="1" applyAlignment="1">
      <alignment vertical="center"/>
    </xf>
    <xf numFmtId="2" fontId="102" fillId="5" borderId="85" xfId="0" applyNumberFormat="1" applyFont="1" applyFill="1" applyBorder="1" applyAlignment="1">
      <alignment vertical="center"/>
    </xf>
    <xf numFmtId="0" fontId="103" fillId="5" borderId="85" xfId="0" applyFont="1" applyFill="1" applyBorder="1" applyAlignment="1">
      <alignment vertical="center"/>
    </xf>
    <xf numFmtId="2" fontId="100" fillId="5" borderId="82" xfId="0" applyNumberFormat="1" applyFont="1" applyFill="1" applyBorder="1" applyAlignment="1" applyProtection="1">
      <alignment vertical="center"/>
      <protection locked="0"/>
    </xf>
    <xf numFmtId="0" fontId="99" fillId="5" borderId="0" xfId="0" applyFont="1" applyFill="1"/>
    <xf numFmtId="0" fontId="99" fillId="5" borderId="0" xfId="0" quotePrefix="1" applyFont="1" applyFill="1" applyAlignment="1">
      <alignment vertical="center"/>
    </xf>
    <xf numFmtId="0" fontId="100" fillId="5" borderId="0" xfId="0" applyFont="1" applyFill="1"/>
    <xf numFmtId="0" fontId="101" fillId="5" borderId="0" xfId="0" applyFont="1" applyFill="1"/>
    <xf numFmtId="0" fontId="100" fillId="5" borderId="0" xfId="0" applyFont="1" applyFill="1" applyAlignment="1">
      <alignment vertical="center"/>
    </xf>
    <xf numFmtId="2" fontId="102" fillId="5" borderId="0" xfId="0" applyNumberFormat="1" applyFont="1" applyFill="1"/>
    <xf numFmtId="0" fontId="103" fillId="5" borderId="0" xfId="0" applyFont="1" applyFill="1"/>
    <xf numFmtId="2" fontId="100" fillId="5" borderId="88" xfId="0" applyNumberFormat="1" applyFont="1" applyFill="1" applyBorder="1" applyProtection="1">
      <protection locked="0"/>
    </xf>
    <xf numFmtId="0" fontId="130" fillId="0" borderId="0" xfId="0" applyFont="1" applyAlignment="1">
      <alignment vertical="center"/>
    </xf>
    <xf numFmtId="0" fontId="82" fillId="0" borderId="0" xfId="0" applyFont="1" applyAlignment="1">
      <alignment vertical="center"/>
    </xf>
    <xf numFmtId="0" fontId="131" fillId="0" borderId="0" xfId="0" applyFont="1"/>
    <xf numFmtId="2" fontId="132" fillId="0" borderId="0" xfId="0" applyNumberFormat="1" applyFont="1" applyAlignment="1">
      <alignment horizontal="center" vertical="center" wrapText="1"/>
    </xf>
    <xf numFmtId="2" fontId="0" fillId="5" borderId="0" xfId="0" applyNumberFormat="1" applyFill="1" applyAlignment="1">
      <alignment horizontal="center" vertical="center" wrapText="1"/>
    </xf>
    <xf numFmtId="165" fontId="132" fillId="0" borderId="0" xfId="0" applyNumberFormat="1" applyFont="1" applyAlignment="1">
      <alignment horizontal="center" vertical="center" wrapText="1"/>
    </xf>
    <xf numFmtId="0" fontId="133" fillId="0" borderId="0" xfId="0" applyFont="1" applyAlignment="1">
      <alignment horizontal="center" vertical="center"/>
    </xf>
    <xf numFmtId="0" fontId="133" fillId="0" borderId="0" xfId="0" applyFont="1" applyAlignment="1">
      <alignment horizontal="center"/>
    </xf>
    <xf numFmtId="0" fontId="134" fillId="0" borderId="0" xfId="0" applyFont="1" applyAlignment="1">
      <alignment horizontal="right" vertical="center"/>
    </xf>
    <xf numFmtId="0" fontId="29" fillId="5" borderId="73" xfId="0" applyFont="1" applyFill="1" applyBorder="1" applyAlignment="1">
      <alignment horizontal="right" vertical="center"/>
    </xf>
    <xf numFmtId="2" fontId="0" fillId="5" borderId="73" xfId="0" applyNumberFormat="1" applyFill="1" applyBorder="1" applyAlignment="1">
      <alignment horizontal="center" vertical="center" wrapText="1"/>
    </xf>
    <xf numFmtId="0" fontId="0" fillId="5" borderId="73" xfId="0" applyFill="1" applyBorder="1"/>
    <xf numFmtId="2" fontId="0" fillId="0" borderId="0" xfId="0" applyNumberFormat="1" applyAlignment="1">
      <alignment horizontal="center" vertical="center" wrapText="1"/>
    </xf>
    <xf numFmtId="165" fontId="0" fillId="0" borderId="0" xfId="0" applyNumberFormat="1" applyAlignment="1">
      <alignment horizontal="center" vertical="center" wrapText="1"/>
    </xf>
    <xf numFmtId="0" fontId="135" fillId="0" borderId="0" xfId="0" applyFont="1" applyAlignment="1">
      <alignment horizontal="center"/>
    </xf>
    <xf numFmtId="0" fontId="136" fillId="0" borderId="0" xfId="0" applyFont="1" applyAlignment="1">
      <alignment vertical="center"/>
    </xf>
    <xf numFmtId="0" fontId="38" fillId="11" borderId="73" xfId="0" applyFont="1" applyFill="1" applyBorder="1" applyAlignment="1">
      <alignment horizontal="center"/>
    </xf>
    <xf numFmtId="0" fontId="38" fillId="11" borderId="73" xfId="0" applyFont="1" applyFill="1" applyBorder="1"/>
    <xf numFmtId="2" fontId="0" fillId="5" borderId="119" xfId="0" applyNumberFormat="1" applyFill="1" applyBorder="1" applyAlignment="1">
      <alignment horizontal="center" vertical="center" wrapText="1"/>
    </xf>
    <xf numFmtId="2" fontId="0" fillId="5" borderId="93" xfId="0" applyNumberFormat="1" applyFill="1" applyBorder="1" applyAlignment="1">
      <alignment horizontal="center" vertical="center" wrapText="1"/>
    </xf>
    <xf numFmtId="0" fontId="0" fillId="5" borderId="93" xfId="0" applyFill="1" applyBorder="1"/>
    <xf numFmtId="2" fontId="0" fillId="5" borderId="75" xfId="0" applyNumberFormat="1" applyFill="1" applyBorder="1" applyAlignment="1">
      <alignment horizontal="center" vertical="center" wrapText="1"/>
    </xf>
    <xf numFmtId="0" fontId="137" fillId="0" borderId="120" xfId="2" applyFont="1" applyBorder="1" applyAlignment="1">
      <alignment horizontal="center" vertical="center"/>
    </xf>
    <xf numFmtId="0" fontId="137" fillId="0" borderId="121" xfId="2" applyFont="1" applyBorder="1" applyAlignment="1">
      <alignment horizontal="center"/>
    </xf>
    <xf numFmtId="0" fontId="0" fillId="0" borderId="76" xfId="0" applyBorder="1"/>
    <xf numFmtId="0" fontId="18" fillId="0" borderId="111" xfId="0" applyFont="1" applyBorder="1" applyAlignment="1">
      <alignment vertical="center"/>
    </xf>
    <xf numFmtId="0" fontId="18" fillId="0" borderId="95" xfId="0" applyFont="1" applyBorder="1" applyAlignment="1">
      <alignment horizontal="left" vertical="center" indent="6"/>
    </xf>
    <xf numFmtId="0" fontId="18" fillId="0" borderId="95" xfId="0" applyFont="1" applyBorder="1" applyAlignment="1">
      <alignment vertical="center"/>
    </xf>
    <xf numFmtId="0" fontId="138" fillId="0" borderId="96" xfId="0" applyFont="1" applyBorder="1"/>
    <xf numFmtId="0" fontId="77" fillId="0" borderId="111" xfId="0" applyFont="1" applyBorder="1" applyAlignment="1">
      <alignment horizontal="center" vertical="center"/>
    </xf>
    <xf numFmtId="0" fontId="77" fillId="0" borderId="95" xfId="0" applyFont="1" applyBorder="1"/>
    <xf numFmtId="0" fontId="0" fillId="0" borderId="84" xfId="0" applyBorder="1"/>
    <xf numFmtId="0" fontId="0" fillId="0" borderId="123" xfId="0" applyBorder="1"/>
    <xf numFmtId="0" fontId="0" fillId="0" borderId="124" xfId="0" applyBorder="1"/>
    <xf numFmtId="0" fontId="0" fillId="0" borderId="125" xfId="0" applyBorder="1"/>
    <xf numFmtId="0" fontId="0" fillId="0" borderId="126" xfId="0" applyBorder="1"/>
    <xf numFmtId="0" fontId="138" fillId="5" borderId="96" xfId="0" applyFont="1" applyFill="1" applyBorder="1"/>
    <xf numFmtId="0" fontId="0" fillId="5" borderId="127" xfId="0" applyFill="1" applyBorder="1"/>
    <xf numFmtId="0" fontId="0" fillId="5" borderId="128" xfId="0" applyFill="1" applyBorder="1"/>
    <xf numFmtId="0" fontId="0" fillId="5" borderId="129" xfId="0" applyFill="1" applyBorder="1"/>
    <xf numFmtId="0" fontId="136" fillId="5" borderId="128" xfId="0" applyFont="1" applyFill="1" applyBorder="1" applyAlignment="1">
      <alignment horizontal="center" vertical="center"/>
    </xf>
    <xf numFmtId="0" fontId="136" fillId="5" borderId="128" xfId="0" applyFont="1" applyFill="1" applyBorder="1"/>
    <xf numFmtId="0" fontId="136" fillId="5" borderId="128" xfId="0" applyFont="1" applyFill="1" applyBorder="1" applyAlignment="1">
      <alignment vertical="center"/>
    </xf>
    <xf numFmtId="0" fontId="0" fillId="12" borderId="128" xfId="0" applyFill="1" applyBorder="1" applyAlignment="1">
      <alignment horizontal="center"/>
    </xf>
    <xf numFmtId="0" fontId="0" fillId="12" borderId="128" xfId="0" applyFill="1" applyBorder="1"/>
    <xf numFmtId="0" fontId="0" fillId="5" borderId="128" xfId="0" applyFill="1" applyBorder="1" applyAlignment="1">
      <alignment horizontal="center"/>
    </xf>
    <xf numFmtId="2" fontId="0" fillId="0" borderId="131" xfId="0" applyNumberFormat="1" applyBorder="1" applyAlignment="1">
      <alignment horizontal="center" vertical="center" wrapText="1"/>
    </xf>
    <xf numFmtId="2" fontId="0" fillId="0" borderId="132" xfId="0" applyNumberFormat="1" applyBorder="1" applyAlignment="1">
      <alignment horizontal="center" vertical="center" wrapText="1"/>
    </xf>
    <xf numFmtId="0" fontId="18" fillId="0" borderId="50" xfId="0" applyFont="1" applyBorder="1" applyAlignment="1">
      <alignment horizontal="center" vertical="center"/>
    </xf>
    <xf numFmtId="0" fontId="18" fillId="0" borderId="50" xfId="0" applyFont="1" applyBorder="1" applyAlignment="1">
      <alignment horizontal="center"/>
    </xf>
    <xf numFmtId="0" fontId="0" fillId="0" borderId="133" xfId="0" applyBorder="1" applyAlignment="1">
      <alignment horizontal="center"/>
    </xf>
    <xf numFmtId="2" fontId="0" fillId="0" borderId="131" xfId="0" applyNumberFormat="1" applyBorder="1" applyAlignment="1">
      <alignment horizontal="center" wrapText="1"/>
    </xf>
    <xf numFmtId="0" fontId="0" fillId="0" borderId="134" xfId="0" applyBorder="1"/>
    <xf numFmtId="0" fontId="0" fillId="0" borderId="135" xfId="0" applyBorder="1"/>
    <xf numFmtId="0" fontId="0" fillId="0" borderId="136" xfId="0" applyBorder="1"/>
    <xf numFmtId="0" fontId="0" fillId="0" borderId="137" xfId="0" applyBorder="1"/>
    <xf numFmtId="0" fontId="0" fillId="0" borderId="138" xfId="0" applyBorder="1"/>
    <xf numFmtId="0" fontId="140" fillId="0" borderId="0" xfId="0" applyFont="1" applyAlignment="1">
      <alignment horizontal="center"/>
    </xf>
    <xf numFmtId="0" fontId="18" fillId="0" borderId="111" xfId="0" applyFont="1" applyBorder="1" applyAlignment="1">
      <alignment horizontal="center" vertical="top" shrinkToFit="1"/>
    </xf>
    <xf numFmtId="0" fontId="0" fillId="0" borderId="0" xfId="0" applyAlignment="1">
      <alignment shrinkToFit="1"/>
    </xf>
    <xf numFmtId="0" fontId="111" fillId="0" borderId="0" xfId="0" applyFont="1" applyAlignment="1">
      <alignment shrinkToFit="1"/>
    </xf>
    <xf numFmtId="0" fontId="110" fillId="0" borderId="0" xfId="0" applyFont="1" applyAlignment="1">
      <alignment shrinkToFit="1"/>
    </xf>
    <xf numFmtId="0" fontId="18" fillId="0" borderId="139" xfId="0" applyFont="1" applyBorder="1" applyAlignment="1">
      <alignment horizontal="center" vertical="top" shrinkToFit="1"/>
    </xf>
    <xf numFmtId="0" fontId="109" fillId="0" borderId="140" xfId="0" applyFont="1" applyBorder="1" applyAlignment="1">
      <alignment horizontal="center" vertical="center" shrinkToFit="1"/>
    </xf>
    <xf numFmtId="0" fontId="109" fillId="0" borderId="141" xfId="0" applyFont="1" applyBorder="1" applyAlignment="1">
      <alignment horizontal="center" vertical="center" shrinkToFit="1"/>
    </xf>
    <xf numFmtId="0" fontId="39" fillId="0" borderId="96" xfId="0" applyFont="1" applyBorder="1"/>
    <xf numFmtId="0" fontId="141" fillId="0" borderId="114" xfId="0" applyFont="1" applyBorder="1" applyAlignment="1">
      <alignment shrinkToFit="1"/>
    </xf>
    <xf numFmtId="0" fontId="142" fillId="0" borderId="115" xfId="0" applyFont="1" applyBorder="1"/>
    <xf numFmtId="0" fontId="141" fillId="0" borderId="116" xfId="0" applyFont="1" applyBorder="1" applyAlignment="1">
      <alignment shrinkToFit="1"/>
    </xf>
    <xf numFmtId="0" fontId="142" fillId="0" borderId="117" xfId="0" applyFont="1" applyBorder="1"/>
    <xf numFmtId="0" fontId="122" fillId="0" borderId="0" xfId="0" applyFont="1"/>
    <xf numFmtId="0" fontId="143" fillId="0" borderId="0" xfId="0" applyFont="1"/>
    <xf numFmtId="0" fontId="114" fillId="0" borderId="0" xfId="0" applyFont="1" applyAlignment="1">
      <alignment horizontal="left"/>
    </xf>
    <xf numFmtId="0" fontId="139" fillId="0" borderId="122" xfId="2" applyFont="1" applyBorder="1" applyAlignment="1">
      <alignment horizontal="center" vertical="center"/>
    </xf>
    <xf numFmtId="0" fontId="139" fillId="0" borderId="130" xfId="2" applyFont="1" applyBorder="1" applyAlignment="1">
      <alignment horizontal="center" vertical="center"/>
    </xf>
    <xf numFmtId="0" fontId="111" fillId="0" borderId="0" xfId="0" applyFont="1" applyAlignment="1">
      <alignment horizontal="center" vertical="center"/>
    </xf>
    <xf numFmtId="0" fontId="107" fillId="0" borderId="0" xfId="0" applyFont="1" applyAlignment="1">
      <alignment horizontal="left"/>
    </xf>
    <xf numFmtId="0" fontId="107" fillId="0" borderId="93" xfId="0" applyFont="1" applyBorder="1" applyAlignment="1">
      <alignment horizontal="left"/>
    </xf>
    <xf numFmtId="0" fontId="144" fillId="0" borderId="0" xfId="0" applyFont="1" applyAlignment="1">
      <alignment horizontal="center"/>
    </xf>
    <xf numFmtId="0" fontId="144" fillId="0" borderId="0" xfId="0" applyFont="1" applyAlignment="1">
      <alignment horizontal="left" vertical="center" indent="2"/>
    </xf>
    <xf numFmtId="0" fontId="83" fillId="5" borderId="14" xfId="0" applyFont="1" applyFill="1" applyBorder="1" applyAlignment="1">
      <alignment horizontal="center"/>
    </xf>
    <xf numFmtId="0" fontId="96" fillId="5" borderId="13" xfId="0" applyFont="1" applyFill="1" applyBorder="1" applyAlignment="1">
      <alignment horizontal="right"/>
    </xf>
    <xf numFmtId="0" fontId="145" fillId="0" borderId="0" xfId="0" applyFont="1" applyAlignment="1">
      <alignment vertical="center"/>
    </xf>
    <xf numFmtId="0" fontId="18" fillId="0" borderId="0" xfId="0" applyFont="1" applyAlignment="1">
      <alignment horizontal="left" vertical="center" indent="1"/>
    </xf>
    <xf numFmtId="0" fontId="18" fillId="0" borderId="50" xfId="0" applyFont="1" applyBorder="1" applyAlignment="1">
      <alignment horizontal="left" vertical="center"/>
    </xf>
    <xf numFmtId="0" fontId="1" fillId="0" borderId="50" xfId="0" applyFont="1" applyBorder="1" applyAlignment="1">
      <alignment horizontal="center"/>
    </xf>
    <xf numFmtId="2" fontId="1" fillId="0" borderId="50" xfId="0" applyNumberFormat="1" applyFont="1" applyBorder="1" applyAlignment="1">
      <alignment horizontal="center"/>
    </xf>
    <xf numFmtId="0" fontId="6" fillId="0" borderId="50" xfId="0" applyFont="1" applyBorder="1" applyAlignment="1">
      <alignment horizontal="center"/>
    </xf>
    <xf numFmtId="0" fontId="14" fillId="3" borderId="142" xfId="0" applyFont="1" applyFill="1" applyBorder="1" applyAlignment="1" applyProtection="1">
      <alignment horizontal="center"/>
      <protection hidden="1"/>
    </xf>
    <xf numFmtId="0" fontId="15" fillId="0" borderId="143" xfId="0" applyFont="1" applyBorder="1" applyAlignment="1" applyProtection="1">
      <alignment horizontal="center"/>
      <protection hidden="1"/>
    </xf>
    <xf numFmtId="0" fontId="15" fillId="0" borderId="144" xfId="0" applyFont="1" applyBorder="1" applyAlignment="1" applyProtection="1">
      <alignment horizontal="center"/>
      <protection hidden="1"/>
    </xf>
    <xf numFmtId="0" fontId="15" fillId="0" borderId="145" xfId="0" quotePrefix="1" applyFont="1" applyBorder="1" applyAlignment="1" applyProtection="1">
      <alignment horizontal="center"/>
      <protection hidden="1"/>
    </xf>
    <xf numFmtId="2" fontId="15" fillId="0" borderId="145" xfId="0" applyNumberFormat="1" applyFont="1" applyBorder="1" applyAlignment="1" applyProtection="1">
      <alignment horizontal="center"/>
      <protection hidden="1"/>
    </xf>
    <xf numFmtId="165" fontId="15" fillId="0" borderId="145" xfId="0" applyNumberFormat="1" applyFont="1" applyBorder="1" applyAlignment="1" applyProtection="1">
      <alignment horizontal="center"/>
      <protection hidden="1"/>
    </xf>
    <xf numFmtId="0" fontId="15" fillId="0" borderId="145" xfId="0" applyFont="1" applyBorder="1" applyAlignment="1" applyProtection="1">
      <alignment horizontal="center" vertical="center" wrapText="1"/>
      <protection hidden="1"/>
    </xf>
    <xf numFmtId="0" fontId="15" fillId="0" borderId="145" xfId="0" quotePrefix="1" applyFont="1" applyBorder="1" applyAlignment="1" applyProtection="1">
      <alignment horizontal="center" vertical="center" wrapText="1"/>
      <protection hidden="1"/>
    </xf>
    <xf numFmtId="0" fontId="15" fillId="0" borderId="148" xfId="0" applyFont="1" applyBorder="1" applyAlignment="1" applyProtection="1">
      <alignment horizontal="center"/>
      <protection hidden="1"/>
    </xf>
    <xf numFmtId="0" fontId="15" fillId="0" borderId="145" xfId="0" applyFont="1" applyBorder="1" applyAlignment="1" applyProtection="1">
      <alignment horizontal="center" vertical="center"/>
      <protection hidden="1"/>
    </xf>
    <xf numFmtId="164" fontId="15" fillId="0" borderId="145" xfId="0" applyNumberFormat="1" applyFont="1" applyBorder="1" applyAlignment="1" applyProtection="1">
      <alignment horizontal="center"/>
      <protection hidden="1"/>
    </xf>
    <xf numFmtId="0" fontId="15" fillId="0" borderId="145" xfId="0" quotePrefix="1" applyFont="1" applyBorder="1" applyAlignment="1" applyProtection="1">
      <alignment horizontal="center" vertical="center"/>
      <protection hidden="1"/>
    </xf>
    <xf numFmtId="0" fontId="14" fillId="3" borderId="149" xfId="0" applyFont="1" applyFill="1" applyBorder="1" applyAlignment="1" applyProtection="1">
      <alignment horizontal="center"/>
      <protection hidden="1"/>
    </xf>
    <xf numFmtId="0" fontId="15" fillId="0" borderId="150" xfId="0" applyFont="1" applyBorder="1" applyAlignment="1" applyProtection="1">
      <alignment horizontal="center"/>
      <protection hidden="1"/>
    </xf>
    <xf numFmtId="0" fontId="15" fillId="0" borderId="151" xfId="0" applyFont="1" applyBorder="1" applyAlignment="1" applyProtection="1">
      <alignment horizontal="center"/>
      <protection hidden="1"/>
    </xf>
    <xf numFmtId="0" fontId="15" fillId="0" borderId="151" xfId="0" quotePrefix="1" applyFont="1" applyBorder="1" applyAlignment="1" applyProtection="1">
      <alignment horizontal="center"/>
      <protection hidden="1"/>
    </xf>
    <xf numFmtId="165" fontId="15" fillId="0" borderId="151" xfId="0" applyNumberFormat="1" applyFont="1" applyBorder="1" applyAlignment="1" applyProtection="1">
      <alignment horizontal="center"/>
      <protection hidden="1"/>
    </xf>
    <xf numFmtId="2" fontId="15" fillId="0" borderId="151" xfId="0" applyNumberFormat="1" applyFont="1" applyBorder="1" applyAlignment="1" applyProtection="1">
      <alignment horizontal="center"/>
      <protection hidden="1"/>
    </xf>
    <xf numFmtId="164" fontId="15" fillId="0" borderId="151" xfId="0" applyNumberFormat="1" applyFont="1" applyBorder="1" applyAlignment="1" applyProtection="1">
      <alignment horizontal="center"/>
      <protection hidden="1"/>
    </xf>
    <xf numFmtId="0" fontId="15" fillId="0" borderId="151" xfId="0" applyFont="1" applyBorder="1" applyAlignment="1" applyProtection="1">
      <alignment horizontal="center" vertical="center" wrapText="1"/>
      <protection hidden="1"/>
    </xf>
    <xf numFmtId="0" fontId="15" fillId="0" borderId="151" xfId="0" quotePrefix="1" applyFont="1" applyBorder="1" applyAlignment="1" applyProtection="1">
      <alignment horizontal="center" vertical="center" wrapText="1"/>
      <protection hidden="1"/>
    </xf>
    <xf numFmtId="0" fontId="15" fillId="0" borderId="152" xfId="0" applyFont="1" applyBorder="1" applyAlignment="1" applyProtection="1">
      <alignment horizontal="center"/>
      <protection hidden="1"/>
    </xf>
    <xf numFmtId="0" fontId="14" fillId="3" borderId="153" xfId="0" applyFont="1" applyFill="1" applyBorder="1" applyAlignment="1" applyProtection="1">
      <alignment horizontal="center"/>
      <protection hidden="1"/>
    </xf>
    <xf numFmtId="0" fontId="15" fillId="0" borderId="154" xfId="0" applyFont="1" applyBorder="1" applyAlignment="1" applyProtection="1">
      <alignment horizontal="center"/>
      <protection hidden="1"/>
    </xf>
    <xf numFmtId="0" fontId="15" fillId="0" borderId="155" xfId="0" applyFont="1" applyBorder="1" applyAlignment="1" applyProtection="1">
      <alignment horizontal="center"/>
      <protection hidden="1"/>
    </xf>
    <xf numFmtId="0" fontId="15" fillId="0" borderId="155" xfId="0" quotePrefix="1" applyFont="1" applyBorder="1" applyAlignment="1" applyProtection="1">
      <alignment horizontal="center"/>
      <protection hidden="1"/>
    </xf>
    <xf numFmtId="2" fontId="15" fillId="0" borderId="155" xfId="0" applyNumberFormat="1" applyFont="1" applyBorder="1" applyAlignment="1" applyProtection="1">
      <alignment horizontal="center"/>
      <protection hidden="1"/>
    </xf>
    <xf numFmtId="165" fontId="15" fillId="0" borderId="155" xfId="0" applyNumberFormat="1" applyFont="1" applyBorder="1" applyAlignment="1" applyProtection="1">
      <alignment horizontal="center"/>
      <protection hidden="1"/>
    </xf>
    <xf numFmtId="164" fontId="15" fillId="0" borderId="155" xfId="0" applyNumberFormat="1" applyFont="1" applyBorder="1" applyAlignment="1" applyProtection="1">
      <alignment horizontal="center"/>
      <protection hidden="1"/>
    </xf>
    <xf numFmtId="0" fontId="15" fillId="0" borderId="155" xfId="0" applyFont="1" applyBorder="1" applyAlignment="1" applyProtection="1">
      <alignment horizontal="center" vertical="center" wrapText="1"/>
      <protection hidden="1"/>
    </xf>
    <xf numFmtId="0" fontId="15" fillId="0" borderId="155" xfId="0" quotePrefix="1" applyFont="1" applyBorder="1" applyAlignment="1" applyProtection="1">
      <alignment horizontal="center" vertical="center" wrapText="1"/>
      <protection hidden="1"/>
    </xf>
    <xf numFmtId="0" fontId="15" fillId="0" borderId="156" xfId="0" applyFont="1" applyBorder="1" applyAlignment="1" applyProtection="1">
      <alignment horizontal="center"/>
      <protection hidden="1"/>
    </xf>
    <xf numFmtId="0" fontId="0" fillId="3" borderId="153" xfId="0" applyFill="1" applyBorder="1" applyAlignment="1" applyProtection="1">
      <alignment horizontal="center"/>
      <protection hidden="1"/>
    </xf>
    <xf numFmtId="0" fontId="15" fillId="4" borderId="155" xfId="0" applyFont="1" applyFill="1" applyBorder="1" applyAlignment="1" applyProtection="1">
      <alignment horizontal="center"/>
      <protection hidden="1"/>
    </xf>
    <xf numFmtId="0" fontId="10" fillId="3" borderId="157" xfId="0" applyFont="1" applyFill="1" applyBorder="1" applyAlignment="1" applyProtection="1">
      <alignment horizontal="center"/>
      <protection hidden="1"/>
    </xf>
    <xf numFmtId="0" fontId="15" fillId="4" borderId="158" xfId="0" applyFont="1" applyFill="1" applyBorder="1" applyAlignment="1" applyProtection="1">
      <alignment horizontal="center"/>
      <protection hidden="1"/>
    </xf>
    <xf numFmtId="0" fontId="15" fillId="4" borderId="146" xfId="0" applyFont="1" applyFill="1" applyBorder="1" applyAlignment="1" applyProtection="1">
      <alignment horizontal="center"/>
      <protection hidden="1"/>
    </xf>
    <xf numFmtId="0" fontId="15" fillId="4" borderId="155" xfId="0" quotePrefix="1" applyFont="1" applyFill="1" applyBorder="1" applyAlignment="1" applyProtection="1">
      <alignment horizontal="center"/>
      <protection hidden="1"/>
    </xf>
    <xf numFmtId="0" fontId="10" fillId="3" borderId="159" xfId="0" applyFont="1" applyFill="1" applyBorder="1" applyAlignment="1" applyProtection="1">
      <alignment horizontal="center"/>
      <protection hidden="1"/>
    </xf>
    <xf numFmtId="0" fontId="15" fillId="4" borderId="160" xfId="0" applyFont="1" applyFill="1" applyBorder="1" applyAlignment="1" applyProtection="1">
      <alignment horizontal="center"/>
      <protection hidden="1"/>
    </xf>
    <xf numFmtId="0" fontId="15" fillId="4" borderId="145" xfId="0" applyFont="1" applyFill="1" applyBorder="1" applyAlignment="1" applyProtection="1">
      <alignment horizontal="center"/>
      <protection hidden="1"/>
    </xf>
    <xf numFmtId="0" fontId="15" fillId="4" borderId="146" xfId="0" quotePrefix="1" applyFont="1" applyFill="1" applyBorder="1" applyAlignment="1" applyProtection="1">
      <alignment horizontal="center"/>
      <protection hidden="1"/>
    </xf>
    <xf numFmtId="0" fontId="15" fillId="4" borderId="147" xfId="0" applyFont="1" applyFill="1" applyBorder="1" applyAlignment="1" applyProtection="1">
      <alignment horizontal="center"/>
      <protection hidden="1"/>
    </xf>
    <xf numFmtId="0" fontId="15" fillId="4" borderId="145" xfId="0" quotePrefix="1" applyFont="1" applyFill="1" applyBorder="1" applyAlignment="1" applyProtection="1">
      <alignment horizontal="center"/>
      <protection hidden="1"/>
    </xf>
    <xf numFmtId="0" fontId="15" fillId="4" borderId="148" xfId="0" applyFont="1" applyFill="1" applyBorder="1" applyAlignment="1" applyProtection="1">
      <alignment horizontal="center"/>
      <protection hidden="1"/>
    </xf>
    <xf numFmtId="0" fontId="10" fillId="3" borderId="153" xfId="0" applyFont="1" applyFill="1" applyBorder="1" applyAlignment="1" applyProtection="1">
      <alignment horizontal="center"/>
      <protection hidden="1"/>
    </xf>
    <xf numFmtId="0" fontId="15" fillId="4" borderId="154" xfId="0" applyFont="1" applyFill="1" applyBorder="1" applyAlignment="1" applyProtection="1">
      <alignment horizontal="center"/>
      <protection hidden="1"/>
    </xf>
    <xf numFmtId="0" fontId="15" fillId="4" borderId="156" xfId="0" applyFont="1" applyFill="1" applyBorder="1" applyAlignment="1" applyProtection="1">
      <alignment horizontal="center"/>
      <protection hidden="1"/>
    </xf>
    <xf numFmtId="0" fontId="0" fillId="0" borderId="161" xfId="0" applyBorder="1" applyAlignment="1">
      <alignment horizontal="center" vertical="center"/>
    </xf>
    <xf numFmtId="0" fontId="0" fillId="2" borderId="161" xfId="0" applyFill="1" applyBorder="1" applyAlignment="1">
      <alignment horizontal="center" vertical="center"/>
    </xf>
    <xf numFmtId="2" fontId="0" fillId="2" borderId="161" xfId="0" applyNumberFormat="1" applyFill="1" applyBorder="1" applyAlignment="1">
      <alignment horizontal="center" vertical="center"/>
    </xf>
    <xf numFmtId="2" fontId="0" fillId="0" borderId="161" xfId="0" applyNumberFormat="1" applyBorder="1" applyAlignment="1">
      <alignment horizontal="center" vertical="center"/>
    </xf>
    <xf numFmtId="0" fontId="0" fillId="0" borderId="161" xfId="0" applyBorder="1" applyAlignment="1">
      <alignment horizontal="center" vertical="center" wrapText="1"/>
    </xf>
    <xf numFmtId="2" fontId="0" fillId="10" borderId="161" xfId="0" applyNumberFormat="1" applyFill="1" applyBorder="1" applyAlignment="1">
      <alignment horizontal="center" vertical="center"/>
    </xf>
    <xf numFmtId="0" fontId="11" fillId="0" borderId="163" xfId="0" applyFont="1" applyBorder="1" applyAlignment="1" applyProtection="1">
      <alignment horizontal="centerContinuous"/>
      <protection hidden="1"/>
    </xf>
    <xf numFmtId="0" fontId="12" fillId="0" borderId="164" xfId="0" applyFont="1" applyBorder="1" applyAlignment="1" applyProtection="1">
      <alignment horizontal="center"/>
      <protection hidden="1"/>
    </xf>
    <xf numFmtId="0" fontId="12" fillId="0" borderId="161" xfId="0" applyFont="1" applyBorder="1" applyAlignment="1" applyProtection="1">
      <alignment horizontal="center"/>
      <protection hidden="1"/>
    </xf>
    <xf numFmtId="0" fontId="12" fillId="0" borderId="165" xfId="0" applyFont="1" applyBorder="1" applyAlignment="1" applyProtection="1">
      <alignment horizontal="centerContinuous"/>
      <protection hidden="1"/>
    </xf>
    <xf numFmtId="0" fontId="12" fillId="0" borderId="164" xfId="0" applyFont="1" applyBorder="1" applyAlignment="1" applyProtection="1">
      <alignment horizontal="centerContinuous"/>
      <protection hidden="1"/>
    </xf>
    <xf numFmtId="0" fontId="14" fillId="0" borderId="166" xfId="0" applyFont="1" applyBorder="1" applyAlignment="1" applyProtection="1">
      <alignment horizontal="center"/>
      <protection hidden="1"/>
    </xf>
    <xf numFmtId="0" fontId="15" fillId="0" borderId="167" xfId="0" applyFont="1" applyBorder="1" applyAlignment="1" applyProtection="1">
      <alignment horizontal="center"/>
      <protection hidden="1"/>
    </xf>
    <xf numFmtId="0" fontId="15" fillId="0" borderId="168" xfId="0" applyFont="1" applyBorder="1" applyAlignment="1" applyProtection="1">
      <alignment horizontal="center"/>
      <protection hidden="1"/>
    </xf>
    <xf numFmtId="0" fontId="12" fillId="0" borderId="169" xfId="0" applyFont="1" applyBorder="1" applyAlignment="1" applyProtection="1">
      <alignment horizontal="center"/>
      <protection hidden="1"/>
    </xf>
    <xf numFmtId="0" fontId="14" fillId="0" borderId="170" xfId="0" applyFont="1" applyBorder="1" applyAlignment="1" applyProtection="1">
      <alignment horizontal="center"/>
      <protection hidden="1"/>
    </xf>
    <xf numFmtId="0" fontId="15" fillId="0" borderId="171" xfId="0" applyFont="1" applyBorder="1" applyAlignment="1" applyProtection="1">
      <alignment horizontal="center"/>
      <protection hidden="1"/>
    </xf>
    <xf numFmtId="0" fontId="15" fillId="0" borderId="172" xfId="0" applyFont="1" applyBorder="1" applyAlignment="1" applyProtection="1">
      <alignment horizontal="center"/>
      <protection hidden="1"/>
    </xf>
    <xf numFmtId="0" fontId="15" fillId="0" borderId="168" xfId="0" quotePrefix="1" applyFont="1" applyBorder="1" applyAlignment="1" applyProtection="1">
      <alignment horizontal="center"/>
      <protection hidden="1"/>
    </xf>
    <xf numFmtId="2" fontId="15" fillId="0" borderId="168" xfId="0" applyNumberFormat="1" applyFont="1" applyBorder="1" applyAlignment="1" applyProtection="1">
      <alignment horizontal="center"/>
      <protection hidden="1"/>
    </xf>
    <xf numFmtId="165" fontId="15" fillId="0" borderId="168" xfId="0" applyNumberFormat="1" applyFont="1" applyBorder="1" applyAlignment="1" applyProtection="1">
      <alignment horizontal="center"/>
      <protection hidden="1"/>
    </xf>
    <xf numFmtId="0" fontId="13" fillId="0" borderId="169" xfId="0" applyFont="1" applyBorder="1" applyAlignment="1" applyProtection="1">
      <alignment horizontal="center"/>
      <protection hidden="1"/>
    </xf>
    <xf numFmtId="0" fontId="15" fillId="0" borderId="172" xfId="0" quotePrefix="1" applyFont="1" applyBorder="1" applyAlignment="1" applyProtection="1">
      <alignment horizontal="center"/>
      <protection hidden="1"/>
    </xf>
    <xf numFmtId="2" fontId="15" fillId="0" borderId="172" xfId="0" applyNumberFormat="1" applyFont="1" applyBorder="1" applyAlignment="1" applyProtection="1">
      <alignment horizontal="center"/>
      <protection hidden="1"/>
    </xf>
    <xf numFmtId="165" fontId="15" fillId="0" borderId="172" xfId="0" applyNumberFormat="1" applyFont="1" applyBorder="1" applyAlignment="1" applyProtection="1">
      <alignment horizontal="center"/>
      <protection hidden="1"/>
    </xf>
    <xf numFmtId="0" fontId="15" fillId="0" borderId="168" xfId="0" applyFont="1" applyBorder="1" applyAlignment="1" applyProtection="1">
      <alignment horizontal="center" vertical="center"/>
      <protection hidden="1"/>
    </xf>
    <xf numFmtId="0" fontId="15" fillId="0" borderId="168" xfId="0" quotePrefix="1" applyFont="1" applyBorder="1" applyAlignment="1" applyProtection="1">
      <alignment horizontal="center" vertical="center" wrapText="1"/>
      <protection hidden="1"/>
    </xf>
    <xf numFmtId="0" fontId="15" fillId="0" borderId="173" xfId="0" applyFont="1" applyBorder="1" applyAlignment="1" applyProtection="1">
      <alignment horizontal="center"/>
      <protection hidden="1"/>
    </xf>
    <xf numFmtId="0" fontId="15" fillId="0" borderId="172" xfId="0" applyFont="1" applyBorder="1" applyAlignment="1" applyProtection="1">
      <alignment horizontal="center" vertical="center" wrapText="1"/>
      <protection hidden="1"/>
    </xf>
    <xf numFmtId="0" fontId="15" fillId="0" borderId="172" xfId="0" quotePrefix="1" applyFont="1" applyBorder="1" applyAlignment="1" applyProtection="1">
      <alignment horizontal="center" vertical="center" wrapText="1"/>
      <protection hidden="1"/>
    </xf>
    <xf numFmtId="0" fontId="15" fillId="0" borderId="174" xfId="0" applyFont="1" applyBorder="1" applyAlignment="1" applyProtection="1">
      <alignment horizontal="center"/>
      <protection hidden="1"/>
    </xf>
    <xf numFmtId="0" fontId="1" fillId="0" borderId="162" xfId="0" applyFont="1" applyBorder="1"/>
    <xf numFmtId="0" fontId="1" fillId="0" borderId="162" xfId="0" applyFont="1" applyBorder="1" applyAlignment="1">
      <alignment horizontal="center" vertical="center"/>
    </xf>
    <xf numFmtId="0" fontId="4" fillId="0" borderId="0" xfId="0" applyFont="1"/>
    <xf numFmtId="167" fontId="2" fillId="0" borderId="0" xfId="0" applyNumberFormat="1" applyFont="1" applyAlignment="1">
      <alignment horizontal="center"/>
    </xf>
    <xf numFmtId="2" fontId="1" fillId="0" borderId="0" xfId="0" applyNumberFormat="1" applyFont="1" applyAlignment="1">
      <alignment horizontal="left"/>
    </xf>
    <xf numFmtId="0" fontId="0" fillId="0" borderId="177" xfId="0" applyBorder="1"/>
    <xf numFmtId="0" fontId="18" fillId="13" borderId="177" xfId="0" applyFont="1" applyFill="1" applyBorder="1"/>
    <xf numFmtId="0" fontId="147" fillId="0" borderId="178" xfId="0" applyFont="1" applyBorder="1"/>
    <xf numFmtId="0" fontId="148" fillId="13" borderId="179" xfId="0" applyFont="1" applyFill="1" applyBorder="1"/>
    <xf numFmtId="0" fontId="147" fillId="0" borderId="180" xfId="0" applyFont="1" applyBorder="1"/>
    <xf numFmtId="0" fontId="147" fillId="0" borderId="181" xfId="0" applyFont="1" applyBorder="1"/>
    <xf numFmtId="0" fontId="148" fillId="13" borderId="181" xfId="0" applyFont="1" applyFill="1" applyBorder="1"/>
    <xf numFmtId="0" fontId="147" fillId="0" borderId="184" xfId="0" applyFont="1" applyBorder="1"/>
    <xf numFmtId="0" fontId="148" fillId="13" borderId="185" xfId="0" applyFont="1" applyFill="1" applyBorder="1"/>
    <xf numFmtId="0" fontId="149" fillId="0" borderId="0" xfId="0" applyFont="1" applyAlignment="1">
      <alignment vertical="center"/>
    </xf>
    <xf numFmtId="0" fontId="0" fillId="0" borderId="0" xfId="0" applyAlignment="1">
      <alignment horizontal="left" vertical="center" indent="2"/>
    </xf>
    <xf numFmtId="0" fontId="18" fillId="0" borderId="0" xfId="0" applyFont="1" applyAlignment="1">
      <alignment horizontal="left" vertical="center" indent="2"/>
    </xf>
    <xf numFmtId="0" fontId="0" fillId="0" borderId="0" xfId="0" applyAlignment="1">
      <alignment horizontal="left" vertical="center" indent="3"/>
    </xf>
    <xf numFmtId="0" fontId="57" fillId="0" borderId="0" xfId="0" applyFont="1" applyAlignment="1">
      <alignment horizontal="center" vertical="center" shrinkToFit="1"/>
    </xf>
    <xf numFmtId="0" fontId="98" fillId="5" borderId="186" xfId="0" applyFont="1" applyFill="1" applyBorder="1" applyAlignment="1">
      <alignment horizontal="right" vertical="center"/>
    </xf>
    <xf numFmtId="0" fontId="86" fillId="5" borderId="188" xfId="0" applyFont="1" applyFill="1" applyBorder="1" applyAlignment="1">
      <alignment horizontal="center" vertical="center"/>
    </xf>
    <xf numFmtId="2" fontId="60" fillId="0" borderId="0" xfId="0" applyNumberFormat="1" applyFont="1" applyAlignment="1" applyProtection="1">
      <alignment horizontal="center" vertical="center"/>
      <protection locked="0" hidden="1"/>
    </xf>
    <xf numFmtId="0" fontId="60" fillId="0" borderId="187" xfId="0" applyFont="1" applyBorder="1" applyAlignment="1">
      <alignment horizontal="left" indent="1"/>
    </xf>
    <xf numFmtId="0" fontId="1" fillId="0" borderId="0" xfId="0" applyFont="1" applyAlignment="1">
      <alignment horizontal="left" wrapText="1"/>
    </xf>
    <xf numFmtId="0" fontId="99" fillId="5" borderId="0" xfId="0" applyFont="1" applyFill="1" applyAlignment="1">
      <alignment vertical="center" wrapText="1"/>
    </xf>
    <xf numFmtId="0" fontId="104" fillId="5" borderId="0" xfId="0" applyFont="1" applyFill="1" applyAlignment="1">
      <alignment vertical="center" wrapText="1"/>
    </xf>
    <xf numFmtId="0" fontId="104" fillId="5" borderId="88" xfId="0" applyFont="1" applyFill="1" applyBorder="1" applyAlignment="1">
      <alignment vertical="center" wrapText="1"/>
    </xf>
    <xf numFmtId="0" fontId="99" fillId="5" borderId="12" xfId="0" applyFont="1" applyFill="1" applyBorder="1" applyAlignment="1">
      <alignment vertical="center" wrapText="1"/>
    </xf>
    <xf numFmtId="0" fontId="104" fillId="5" borderId="12" xfId="0" applyFont="1" applyFill="1" applyBorder="1" applyAlignment="1">
      <alignment vertical="center" wrapText="1"/>
    </xf>
    <xf numFmtId="0" fontId="104" fillId="5" borderId="74" xfId="0" applyFont="1" applyFill="1" applyBorder="1" applyAlignment="1">
      <alignment vertical="center" wrapText="1"/>
    </xf>
    <xf numFmtId="0" fontId="40" fillId="0" borderId="0" xfId="0" applyFont="1" applyAlignment="1">
      <alignment horizontal="left" vertical="center" indent="2"/>
    </xf>
    <xf numFmtId="0" fontId="54" fillId="0" borderId="0" xfId="0" applyFont="1" applyAlignment="1">
      <alignment horizontal="left" vertical="center" indent="2"/>
    </xf>
    <xf numFmtId="167" fontId="5" fillId="0" borderId="0" xfId="0" applyNumberFormat="1" applyFont="1" applyAlignment="1">
      <alignment horizontal="center"/>
    </xf>
    <xf numFmtId="2" fontId="8" fillId="0" borderId="0" xfId="0" applyNumberFormat="1" applyFont="1" applyAlignment="1">
      <alignment horizontal="center"/>
    </xf>
    <xf numFmtId="0" fontId="146" fillId="13" borderId="189" xfId="0" applyFont="1" applyFill="1" applyBorder="1" applyAlignment="1">
      <alignment horizontal="center" vertical="center" wrapText="1"/>
    </xf>
    <xf numFmtId="0" fontId="146" fillId="13" borderId="190" xfId="0" applyFont="1" applyFill="1" applyBorder="1" applyAlignment="1">
      <alignment horizontal="center" vertical="center" wrapText="1"/>
    </xf>
    <xf numFmtId="0" fontId="146" fillId="13" borderId="191" xfId="0" applyFont="1" applyFill="1" applyBorder="1" applyAlignment="1">
      <alignment horizontal="center" vertical="center" wrapText="1"/>
    </xf>
    <xf numFmtId="0" fontId="146" fillId="0" borderId="192" xfId="0" applyFont="1" applyBorder="1" applyAlignment="1">
      <alignment horizontal="center" vertical="center"/>
    </xf>
    <xf numFmtId="0" fontId="146" fillId="0" borderId="193" xfId="0" applyFont="1" applyBorder="1" applyAlignment="1">
      <alignment horizontal="center" vertical="center"/>
    </xf>
    <xf numFmtId="0" fontId="146" fillId="0" borderId="194" xfId="0" applyFont="1" applyBorder="1" applyAlignment="1">
      <alignment horizontal="center" vertical="center"/>
    </xf>
    <xf numFmtId="0" fontId="150" fillId="0" borderId="0" xfId="0" applyFont="1"/>
    <xf numFmtId="0" fontId="150" fillId="0" borderId="0" xfId="0" applyFont="1" applyAlignment="1">
      <alignment horizontal="center"/>
    </xf>
    <xf numFmtId="0" fontId="151" fillId="0" borderId="0" xfId="0" applyFont="1" applyAlignment="1">
      <alignment horizontal="center"/>
    </xf>
    <xf numFmtId="0" fontId="60" fillId="0" borderId="0" xfId="0" applyFont="1" applyAlignment="1">
      <alignment horizontal="left" indent="1"/>
    </xf>
    <xf numFmtId="0" fontId="60" fillId="0" borderId="0" xfId="0" applyFont="1" applyAlignment="1">
      <alignment horizontal="right" vertical="center"/>
    </xf>
    <xf numFmtId="2" fontId="57" fillId="0" borderId="0" xfId="0" applyNumberFormat="1" applyFont="1" applyAlignment="1" applyProtection="1">
      <alignment horizontal="center" vertical="center"/>
      <protection locked="0" hidden="1"/>
    </xf>
    <xf numFmtId="0" fontId="98" fillId="0" borderId="0" xfId="0" applyFont="1" applyAlignment="1">
      <alignment horizontal="right" vertical="center"/>
    </xf>
    <xf numFmtId="0" fontId="86" fillId="0" borderId="0" xfId="0" applyFont="1" applyAlignment="1">
      <alignment horizontal="center" vertical="center"/>
    </xf>
    <xf numFmtId="0" fontId="1" fillId="0" borderId="0" xfId="0" applyFont="1" applyAlignment="1">
      <alignment horizontal="left" indent="9"/>
    </xf>
    <xf numFmtId="0" fontId="20" fillId="0" borderId="0" xfId="0" applyFont="1"/>
    <xf numFmtId="0" fontId="84" fillId="0" borderId="0" xfId="0" applyFont="1"/>
    <xf numFmtId="0" fontId="152" fillId="0" borderId="0" xfId="0" applyFont="1" applyAlignment="1">
      <alignment horizontal="center" vertical="center" shrinkToFit="1"/>
    </xf>
    <xf numFmtId="0" fontId="101" fillId="0" borderId="0" xfId="0" applyFont="1" applyAlignment="1">
      <alignment horizontal="left"/>
    </xf>
    <xf numFmtId="0" fontId="16" fillId="0" borderId="0" xfId="0" applyFont="1" applyAlignment="1">
      <alignment horizontal="left" indent="4"/>
    </xf>
    <xf numFmtId="0" fontId="154" fillId="0" borderId="0" xfId="0" applyFont="1" applyAlignment="1">
      <alignment horizontal="center" vertical="center" shrinkToFit="1"/>
    </xf>
    <xf numFmtId="0" fontId="28" fillId="0" borderId="0" xfId="0" applyFont="1" applyAlignment="1">
      <alignment horizontal="left" indent="1"/>
    </xf>
    <xf numFmtId="0" fontId="154" fillId="0" borderId="0" xfId="0" applyFont="1"/>
    <xf numFmtId="0" fontId="154" fillId="0" borderId="0" xfId="0" applyFont="1" applyAlignment="1">
      <alignment horizontal="center" vertical="center"/>
    </xf>
    <xf numFmtId="0" fontId="28" fillId="0" borderId="119" xfId="0" applyFont="1" applyBorder="1" applyAlignment="1">
      <alignment horizontal="left"/>
    </xf>
    <xf numFmtId="0" fontId="28" fillId="0" borderId="93" xfId="0" applyFont="1" applyBorder="1" applyAlignment="1">
      <alignment horizontal="left"/>
    </xf>
    <xf numFmtId="0" fontId="28" fillId="0" borderId="0" xfId="0" applyFont="1" applyAlignment="1">
      <alignment horizontal="left"/>
    </xf>
    <xf numFmtId="2" fontId="1" fillId="0" borderId="0" xfId="0" applyNumberFormat="1" applyFont="1"/>
    <xf numFmtId="167" fontId="1" fillId="0" borderId="0" xfId="0" applyNumberFormat="1" applyFont="1"/>
    <xf numFmtId="167" fontId="2" fillId="0" borderId="0" xfId="0" applyNumberFormat="1" applyFont="1"/>
    <xf numFmtId="2" fontId="15" fillId="0" borderId="195" xfId="0" applyNumberFormat="1" applyFont="1" applyBorder="1" applyAlignment="1" applyProtection="1">
      <alignment horizontal="center"/>
      <protection hidden="1"/>
    </xf>
    <xf numFmtId="0" fontId="15" fillId="0" borderId="195" xfId="0" applyFont="1" applyBorder="1" applyAlignment="1" applyProtection="1">
      <alignment horizontal="center" vertical="center" wrapText="1"/>
      <protection hidden="1"/>
    </xf>
    <xf numFmtId="0" fontId="15" fillId="0" borderId="195" xfId="0" quotePrefix="1" applyFont="1" applyBorder="1" applyAlignment="1" applyProtection="1">
      <alignment horizontal="center"/>
      <protection hidden="1"/>
    </xf>
    <xf numFmtId="0" fontId="15" fillId="0" borderId="195" xfId="0" applyFont="1" applyBorder="1" applyAlignment="1" applyProtection="1">
      <alignment horizontal="center"/>
      <protection hidden="1"/>
    </xf>
    <xf numFmtId="165" fontId="15" fillId="0" borderId="195" xfId="0" applyNumberFormat="1" applyFont="1" applyBorder="1" applyAlignment="1" applyProtection="1">
      <alignment horizontal="center"/>
      <protection hidden="1"/>
    </xf>
    <xf numFmtId="0" fontId="15" fillId="0" borderId="196"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2" fontId="15" fillId="0" borderId="0" xfId="0" applyNumberFormat="1" applyFont="1" applyAlignment="1" applyProtection="1">
      <alignment horizontal="center"/>
      <protection hidden="1"/>
    </xf>
    <xf numFmtId="0" fontId="15" fillId="0" borderId="0" xfId="0" quotePrefix="1" applyFont="1" applyAlignment="1" applyProtection="1">
      <alignment horizontal="center"/>
      <protection hidden="1"/>
    </xf>
    <xf numFmtId="165" fontId="15" fillId="0" borderId="0" xfId="0" applyNumberFormat="1" applyFont="1" applyAlignment="1" applyProtection="1">
      <alignment horizontal="center"/>
      <protection hidden="1"/>
    </xf>
    <xf numFmtId="0" fontId="50" fillId="0" borderId="0" xfId="0" applyFont="1" applyAlignment="1">
      <alignment horizontal="left"/>
    </xf>
    <xf numFmtId="0" fontId="36" fillId="0" borderId="0" xfId="1" applyAlignment="1">
      <alignment horizontal="left" indent="2"/>
    </xf>
    <xf numFmtId="0" fontId="155" fillId="0" borderId="0" xfId="1" applyFont="1"/>
    <xf numFmtId="0" fontId="52" fillId="0" borderId="12" xfId="0" applyFont="1" applyBorder="1" applyAlignment="1">
      <alignment horizontal="center"/>
    </xf>
    <xf numFmtId="0" fontId="50" fillId="0" borderId="0" xfId="0" applyFont="1" applyAlignment="1">
      <alignment horizontal="right" vertical="center" indent="2"/>
    </xf>
    <xf numFmtId="0" fontId="144" fillId="0" borderId="0" xfId="0" applyFont="1" applyAlignment="1">
      <alignment horizontal="left" indent="2"/>
    </xf>
    <xf numFmtId="0" fontId="156" fillId="0" borderId="0" xfId="0" applyFont="1" applyAlignment="1">
      <alignment horizontal="left" indent="1"/>
    </xf>
    <xf numFmtId="0" fontId="156" fillId="0" borderId="0" xfId="0" applyFont="1" applyAlignment="1">
      <alignment horizontal="left" indent="3"/>
    </xf>
    <xf numFmtId="0" fontId="153" fillId="0" borderId="0" xfId="0" applyFont="1" applyAlignment="1">
      <alignment horizontal="left" indent="2"/>
    </xf>
    <xf numFmtId="0" fontId="153" fillId="0" borderId="0" xfId="0" applyFont="1" applyAlignment="1">
      <alignment horizontal="left" vertical="center" indent="3"/>
    </xf>
    <xf numFmtId="0" fontId="157" fillId="0" borderId="0" xfId="0" applyFont="1"/>
    <xf numFmtId="0" fontId="157" fillId="0" borderId="0" xfId="0" applyFont="1" applyAlignment="1">
      <alignment horizontal="left" indent="1"/>
    </xf>
    <xf numFmtId="0" fontId="52" fillId="0" borderId="0" xfId="0" applyFont="1" applyAlignment="1">
      <alignment horizontal="left" vertical="center" indent="1"/>
    </xf>
    <xf numFmtId="2" fontId="57" fillId="0" borderId="197" xfId="0" applyNumberFormat="1" applyFont="1" applyBorder="1" applyAlignment="1" applyProtection="1">
      <alignment horizontal="center"/>
      <protection locked="0"/>
    </xf>
    <xf numFmtId="0" fontId="57" fillId="0" borderId="38" xfId="0" applyFont="1" applyBorder="1" applyAlignment="1">
      <alignment horizontal="center"/>
    </xf>
    <xf numFmtId="0" fontId="60" fillId="0" borderId="13" xfId="0" applyFont="1" applyBorder="1" applyAlignment="1">
      <alignment horizontal="center" vertical="center"/>
    </xf>
    <xf numFmtId="0" fontId="158" fillId="0" borderId="0" xfId="0" applyFont="1" applyAlignment="1">
      <alignment horizontal="left" indent="1"/>
    </xf>
    <xf numFmtId="0" fontId="22" fillId="0" borderId="0" xfId="0" applyFont="1"/>
    <xf numFmtId="2" fontId="94" fillId="0" borderId="198" xfId="0" applyNumberFormat="1" applyFont="1" applyBorder="1" applyAlignment="1">
      <alignment horizontal="center"/>
    </xf>
    <xf numFmtId="2" fontId="94" fillId="0" borderId="0" xfId="0" applyNumberFormat="1" applyFont="1" applyAlignment="1">
      <alignment horizontal="left" indent="9"/>
    </xf>
    <xf numFmtId="2" fontId="94" fillId="0" borderId="0" xfId="0" applyNumberFormat="1" applyFont="1" applyAlignment="1">
      <alignment horizontal="center"/>
    </xf>
    <xf numFmtId="2" fontId="94" fillId="0" borderId="198" xfId="0" applyNumberFormat="1" applyFont="1" applyBorder="1" applyAlignment="1">
      <alignment horizontal="left" vertical="center" indent="2"/>
    </xf>
    <xf numFmtId="0" fontId="40" fillId="0" borderId="0" xfId="0" applyFont="1" applyAlignment="1">
      <alignment horizontal="left" wrapText="1"/>
    </xf>
    <xf numFmtId="0" fontId="53" fillId="0" borderId="0" xfId="0" applyFont="1"/>
    <xf numFmtId="0" fontId="16" fillId="0" borderId="0" xfId="0" applyFont="1" applyAlignment="1">
      <alignment horizontal="center"/>
    </xf>
    <xf numFmtId="2" fontId="72" fillId="0" borderId="0" xfId="0" applyNumberFormat="1" applyFont="1" applyAlignment="1">
      <alignment horizontal="left" indent="1"/>
    </xf>
    <xf numFmtId="167" fontId="5" fillId="0" borderId="0" xfId="0" applyNumberFormat="1" applyFont="1"/>
    <xf numFmtId="2" fontId="60" fillId="0" borderId="0" xfId="0" applyNumberFormat="1" applyFont="1" applyAlignment="1">
      <alignment horizontal="center"/>
    </xf>
    <xf numFmtId="2" fontId="9" fillId="0" borderId="0" xfId="0" applyNumberFormat="1" applyFont="1" applyAlignment="1">
      <alignment horizontal="center"/>
    </xf>
    <xf numFmtId="2" fontId="26" fillId="0" borderId="0" xfId="0" applyNumberFormat="1" applyFont="1" applyAlignment="1">
      <alignment horizontal="center"/>
    </xf>
    <xf numFmtId="2" fontId="8" fillId="0" borderId="0" xfId="0" applyNumberFormat="1" applyFont="1"/>
    <xf numFmtId="0" fontId="159" fillId="0" borderId="0" xfId="0" applyFont="1"/>
    <xf numFmtId="0" fontId="43" fillId="0" borderId="108" xfId="0" applyFont="1" applyBorder="1"/>
    <xf numFmtId="0" fontId="52" fillId="0" borderId="119" xfId="0" applyFont="1" applyBorder="1" applyAlignment="1">
      <alignment horizontal="center"/>
    </xf>
    <xf numFmtId="0" fontId="52" fillId="0" borderId="199" xfId="0" applyFont="1" applyBorder="1" applyAlignment="1">
      <alignment horizontal="center"/>
    </xf>
    <xf numFmtId="2" fontId="5" fillId="0" borderId="0" xfId="0" applyNumberFormat="1" applyFont="1" applyAlignment="1" applyProtection="1">
      <alignment horizontal="right"/>
      <protection locked="0"/>
    </xf>
    <xf numFmtId="0" fontId="28" fillId="0" borderId="0" xfId="0" applyFont="1" applyAlignment="1">
      <alignment horizontal="right" vertical="center" indent="2"/>
    </xf>
    <xf numFmtId="0" fontId="16" fillId="0" borderId="0" xfId="0" applyFont="1" applyAlignment="1">
      <alignment horizontal="left" vertical="center" indent="1"/>
    </xf>
    <xf numFmtId="0" fontId="154" fillId="0" borderId="0" xfId="0" applyFont="1" applyAlignment="1">
      <alignment horizontal="center"/>
    </xf>
    <xf numFmtId="0" fontId="65" fillId="0" borderId="0" xfId="0" applyFont="1" applyAlignment="1">
      <alignment horizontal="center" shrinkToFit="1"/>
    </xf>
    <xf numFmtId="0" fontId="61" fillId="0" borderId="0" xfId="0" applyFont="1" applyAlignment="1">
      <alignment horizontal="center" shrinkToFit="1"/>
    </xf>
    <xf numFmtId="0" fontId="0" fillId="0" borderId="0" xfId="0" applyAlignment="1">
      <alignment horizontal="center" vertical="top"/>
    </xf>
    <xf numFmtId="0" fontId="30" fillId="0" borderId="0" xfId="0" applyFont="1" applyAlignment="1">
      <alignment horizontal="left"/>
    </xf>
    <xf numFmtId="0" fontId="30" fillId="0" borderId="84" xfId="0" applyFont="1" applyBorder="1" applyAlignment="1">
      <alignment horizontal="right"/>
    </xf>
    <xf numFmtId="2" fontId="30" fillId="0" borderId="0" xfId="0" applyNumberFormat="1" applyFont="1" applyAlignment="1" applyProtection="1">
      <alignment horizontal="center"/>
      <protection locked="0"/>
    </xf>
    <xf numFmtId="2" fontId="30" fillId="0" borderId="0" xfId="0" applyNumberFormat="1" applyFont="1" applyAlignment="1" applyProtection="1">
      <alignment horizontal="left"/>
      <protection locked="0"/>
    </xf>
    <xf numFmtId="0" fontId="161" fillId="0" borderId="0" xfId="0" applyFont="1"/>
    <xf numFmtId="0" fontId="160" fillId="0" borderId="0" xfId="0" applyFont="1" applyAlignment="1">
      <alignment horizontal="center"/>
    </xf>
    <xf numFmtId="0" fontId="162" fillId="0" borderId="0" xfId="0" applyFont="1"/>
    <xf numFmtId="0" fontId="31" fillId="0" borderId="0" xfId="0" applyFont="1" applyAlignment="1">
      <alignment horizontal="right"/>
    </xf>
    <xf numFmtId="0" fontId="31" fillId="0" borderId="0" xfId="0" applyFont="1" applyAlignment="1">
      <alignment horizontal="center" vertical="center"/>
    </xf>
    <xf numFmtId="0" fontId="30" fillId="0" borderId="0" xfId="0" applyFont="1" applyAlignment="1">
      <alignment horizontal="left" vertical="center"/>
    </xf>
    <xf numFmtId="0" fontId="131" fillId="0" borderId="0" xfId="0" applyFont="1" applyAlignment="1">
      <alignment horizontal="left" indent="1"/>
    </xf>
    <xf numFmtId="0" fontId="112" fillId="0" borderId="0" xfId="0" applyFont="1" applyAlignment="1">
      <alignment horizontal="left" indent="1"/>
    </xf>
    <xf numFmtId="0" fontId="159" fillId="0" borderId="0" xfId="0" applyFont="1" applyAlignment="1">
      <alignment horizontal="left" indent="1"/>
    </xf>
    <xf numFmtId="0" fontId="98" fillId="0" borderId="0" xfId="0" applyFont="1" applyAlignment="1">
      <alignment vertical="top"/>
    </xf>
    <xf numFmtId="0" fontId="65" fillId="0" borderId="0" xfId="0" applyFont="1" applyAlignment="1">
      <alignment horizontal="right" vertical="top"/>
    </xf>
    <xf numFmtId="0" fontId="0" fillId="0" borderId="177" xfId="0" applyBorder="1" applyAlignment="1">
      <alignment horizontal="center" vertical="center"/>
    </xf>
    <xf numFmtId="0" fontId="164" fillId="13" borderId="209" xfId="0" applyFont="1" applyFill="1" applyBorder="1" applyAlignment="1">
      <alignment horizontal="center" vertical="center" wrapText="1"/>
    </xf>
    <xf numFmtId="0" fontId="164" fillId="0" borderId="209" xfId="0" applyFont="1" applyBorder="1" applyAlignment="1">
      <alignment horizontal="center" vertical="center"/>
    </xf>
    <xf numFmtId="0" fontId="45" fillId="0" borderId="214" xfId="0" applyFont="1" applyBorder="1" applyAlignment="1">
      <alignment horizontal="center" vertical="center"/>
    </xf>
    <xf numFmtId="0" fontId="45" fillId="0" borderId="215" xfId="0" applyFont="1" applyBorder="1" applyAlignment="1">
      <alignment horizontal="center" vertical="center"/>
    </xf>
    <xf numFmtId="0" fontId="45" fillId="0" borderId="216" xfId="0" applyFont="1" applyBorder="1" applyAlignment="1">
      <alignment horizontal="center" vertical="center"/>
    </xf>
    <xf numFmtId="0" fontId="47" fillId="13" borderId="212" xfId="0" applyFont="1" applyFill="1" applyBorder="1" applyAlignment="1">
      <alignment horizontal="center" vertical="center" wrapText="1"/>
    </xf>
    <xf numFmtId="0" fontId="26" fillId="13" borderId="212" xfId="0" applyFont="1" applyFill="1" applyBorder="1" applyAlignment="1">
      <alignment horizontal="center" vertical="center" wrapText="1"/>
    </xf>
    <xf numFmtId="0" fontId="166" fillId="13" borderId="212" xfId="0" applyFont="1" applyFill="1" applyBorder="1" applyAlignment="1">
      <alignment horizontal="center" vertical="center" wrapText="1"/>
    </xf>
    <xf numFmtId="0" fontId="47" fillId="13" borderId="211" xfId="0" applyFont="1" applyFill="1" applyBorder="1" applyAlignment="1">
      <alignment horizontal="center" vertical="center" wrapText="1"/>
    </xf>
    <xf numFmtId="0" fontId="47" fillId="13" borderId="213" xfId="0" applyFont="1" applyFill="1" applyBorder="1" applyAlignment="1">
      <alignment horizontal="center" vertical="center" wrapText="1"/>
    </xf>
    <xf numFmtId="0" fontId="26" fillId="13" borderId="212" xfId="0" applyFont="1" applyFill="1" applyBorder="1" applyAlignment="1">
      <alignment horizontal="center" vertical="top" wrapText="1"/>
    </xf>
    <xf numFmtId="0" fontId="144" fillId="0" borderId="0" xfId="0" applyFont="1" applyAlignment="1">
      <alignment horizontal="left" vertical="center" indent="1"/>
    </xf>
    <xf numFmtId="0" fontId="45" fillId="0" borderId="0" xfId="0" applyFont="1" applyAlignment="1">
      <alignment horizontal="left" indent="6"/>
    </xf>
    <xf numFmtId="0" fontId="24" fillId="0" borderId="0" xfId="0" quotePrefix="1" applyFont="1"/>
    <xf numFmtId="0" fontId="5" fillId="0" borderId="0" xfId="0" quotePrefix="1" applyFont="1" applyAlignment="1">
      <alignment wrapText="1"/>
    </xf>
    <xf numFmtId="0" fontId="30" fillId="0" borderId="0" xfId="0" applyFont="1" applyAlignment="1">
      <alignment horizontal="center" vertical="top"/>
    </xf>
    <xf numFmtId="0" fontId="30" fillId="0" borderId="0" xfId="0" applyFont="1" applyAlignment="1">
      <alignment horizontal="left" vertical="top"/>
    </xf>
    <xf numFmtId="0" fontId="5" fillId="0" borderId="0" xfId="0" quotePrefix="1" applyFont="1" applyAlignment="1">
      <alignment horizontal="center"/>
    </xf>
    <xf numFmtId="0" fontId="167" fillId="0" borderId="0" xfId="0" applyFont="1" applyAlignment="1">
      <alignment horizontal="right"/>
    </xf>
    <xf numFmtId="0" fontId="163" fillId="0" borderId="0" xfId="0" applyFont="1"/>
    <xf numFmtId="0" fontId="106" fillId="0" borderId="0" xfId="0" applyFont="1" applyAlignment="1">
      <alignment horizontal="left" vertical="center"/>
    </xf>
    <xf numFmtId="0" fontId="168" fillId="0" borderId="0" xfId="0" applyFont="1" applyAlignment="1">
      <alignment horizontal="left" indent="6"/>
    </xf>
    <xf numFmtId="0" fontId="72" fillId="0" borderId="0" xfId="0" applyFont="1" applyAlignment="1">
      <alignment horizontal="center"/>
    </xf>
    <xf numFmtId="0" fontId="38" fillId="8" borderId="74" xfId="0" applyFont="1" applyFill="1" applyBorder="1" applyAlignment="1">
      <alignment wrapText="1"/>
    </xf>
    <xf numFmtId="0" fontId="38" fillId="8" borderId="19" xfId="0" applyFont="1" applyFill="1" applyBorder="1" applyAlignment="1">
      <alignment wrapText="1"/>
    </xf>
    <xf numFmtId="0" fontId="38" fillId="8" borderId="19" xfId="0" applyFont="1" applyFill="1" applyBorder="1" applyAlignment="1">
      <alignment horizontal="center" vertical="center" wrapText="1"/>
    </xf>
    <xf numFmtId="0" fontId="38" fillId="8" borderId="83" xfId="0" applyFont="1" applyFill="1" applyBorder="1" applyAlignment="1">
      <alignment horizontal="center" vertical="center" wrapText="1"/>
    </xf>
    <xf numFmtId="0" fontId="0" fillId="9" borderId="15" xfId="0" applyFill="1" applyBorder="1" applyAlignment="1">
      <alignment wrapText="1"/>
    </xf>
    <xf numFmtId="0" fontId="0" fillId="9" borderId="17" xfId="0" applyFill="1" applyBorder="1" applyAlignment="1">
      <alignment horizontal="center" vertical="center" wrapText="1"/>
    </xf>
    <xf numFmtId="0" fontId="0" fillId="9" borderId="17" xfId="0" applyFill="1" applyBorder="1" applyAlignment="1">
      <alignment wrapText="1"/>
    </xf>
    <xf numFmtId="0" fontId="0" fillId="9" borderId="17" xfId="0" applyFill="1" applyBorder="1" applyAlignment="1">
      <alignment horizontal="right" vertical="center" wrapText="1"/>
    </xf>
    <xf numFmtId="0" fontId="0" fillId="9" borderId="17" xfId="0" applyFill="1" applyBorder="1" applyAlignment="1">
      <alignment horizontal="right" wrapText="1"/>
    </xf>
    <xf numFmtId="0" fontId="0" fillId="9" borderId="13" xfId="0" applyFill="1" applyBorder="1" applyAlignment="1">
      <alignment horizontal="right" wrapText="1"/>
    </xf>
    <xf numFmtId="0" fontId="0" fillId="0" borderId="15" xfId="0" applyBorder="1" applyAlignment="1">
      <alignment wrapText="1"/>
    </xf>
    <xf numFmtId="0" fontId="0" fillId="0" borderId="17" xfId="0" applyBorder="1" applyAlignment="1">
      <alignment horizontal="center" vertical="center" wrapText="1"/>
    </xf>
    <xf numFmtId="0" fontId="0" fillId="0" borderId="17" xfId="0" applyBorder="1" applyAlignment="1">
      <alignment wrapText="1"/>
    </xf>
    <xf numFmtId="0" fontId="0" fillId="0" borderId="17" xfId="0" applyBorder="1" applyAlignment="1">
      <alignment horizontal="right" vertical="center" wrapText="1"/>
    </xf>
    <xf numFmtId="0" fontId="0" fillId="0" borderId="17" xfId="0" applyBorder="1" applyAlignment="1">
      <alignment horizontal="right" wrapText="1"/>
    </xf>
    <xf numFmtId="0" fontId="0" fillId="0" borderId="13" xfId="0" applyBorder="1" applyAlignment="1">
      <alignment horizontal="right" wrapText="1"/>
    </xf>
    <xf numFmtId="0" fontId="0" fillId="9" borderId="82" xfId="0" applyFill="1" applyBorder="1" applyAlignment="1">
      <alignment wrapText="1"/>
    </xf>
    <xf numFmtId="0" fontId="0" fillId="9" borderId="18" xfId="0" applyFill="1" applyBorder="1" applyAlignment="1">
      <alignment horizontal="center" vertical="center" wrapText="1"/>
    </xf>
    <xf numFmtId="0" fontId="0" fillId="9" borderId="18" xfId="0" applyFill="1" applyBorder="1" applyAlignment="1">
      <alignment wrapText="1"/>
    </xf>
    <xf numFmtId="0" fontId="0" fillId="9" borderId="81" xfId="0" applyFill="1" applyBorder="1" applyAlignment="1">
      <alignment wrapText="1"/>
    </xf>
    <xf numFmtId="0" fontId="5" fillId="5" borderId="0" xfId="0" applyFont="1" applyFill="1" applyAlignment="1">
      <alignment horizontal="left" indent="1"/>
    </xf>
    <xf numFmtId="0" fontId="5" fillId="5" borderId="0" xfId="0" applyFont="1" applyFill="1" applyAlignment="1">
      <alignment horizontal="right"/>
    </xf>
    <xf numFmtId="0" fontId="5" fillId="5" borderId="0" xfId="0" applyFont="1" applyFill="1" applyAlignment="1">
      <alignment horizontal="left" vertical="center" indent="1"/>
    </xf>
    <xf numFmtId="0" fontId="24" fillId="5" borderId="0" xfId="0" applyFont="1" applyFill="1" applyAlignment="1">
      <alignment horizontal="left" indent="1"/>
    </xf>
    <xf numFmtId="0" fontId="162" fillId="0" borderId="217" xfId="0" applyFont="1" applyBorder="1" applyAlignment="1">
      <alignment horizontal="center" vertical="center"/>
    </xf>
    <xf numFmtId="0" fontId="29" fillId="0" borderId="218" xfId="0" applyFont="1" applyBorder="1" applyAlignment="1">
      <alignment horizontal="center" vertical="center"/>
    </xf>
    <xf numFmtId="0" fontId="29" fillId="0" borderId="19" xfId="0" applyFont="1" applyBorder="1" applyAlignment="1">
      <alignment horizontal="center" vertical="center"/>
    </xf>
    <xf numFmtId="0" fontId="5" fillId="0" borderId="0" xfId="0" applyFont="1" applyAlignment="1">
      <alignment horizontal="left" vertical="center"/>
    </xf>
    <xf numFmtId="0" fontId="162" fillId="0" borderId="0" xfId="0" applyFont="1" applyAlignment="1">
      <alignment horizontal="center" vertical="center"/>
    </xf>
    <xf numFmtId="0" fontId="29" fillId="0" borderId="0" xfId="0" applyFont="1" applyAlignment="1">
      <alignment horizontal="center" vertical="center"/>
    </xf>
    <xf numFmtId="0" fontId="18" fillId="13" borderId="177" xfId="0" applyFont="1" applyFill="1" applyBorder="1" applyAlignment="1">
      <alignment horizontal="center" vertical="center"/>
    </xf>
    <xf numFmtId="0" fontId="101" fillId="0" borderId="0" xfId="0" applyFont="1" applyAlignment="1">
      <alignment horizontal="center"/>
    </xf>
    <xf numFmtId="0" fontId="100" fillId="0" borderId="0" xfId="0" applyFont="1" applyAlignment="1">
      <alignment horizontal="center"/>
    </xf>
    <xf numFmtId="0" fontId="47" fillId="0" borderId="0" xfId="0" applyFont="1" applyAlignment="1">
      <alignment horizontal="right"/>
    </xf>
    <xf numFmtId="0" fontId="81" fillId="0" borderId="0" xfId="0" applyFont="1" applyAlignment="1">
      <alignment horizontal="left" vertical="top"/>
    </xf>
    <xf numFmtId="0" fontId="97" fillId="0" borderId="0" xfId="0" applyFont="1" applyAlignment="1">
      <alignment horizontal="center" vertical="center"/>
    </xf>
    <xf numFmtId="0" fontId="83" fillId="0" borderId="0" xfId="0" applyFont="1" applyAlignment="1">
      <alignment horizontal="center" vertical="center"/>
    </xf>
    <xf numFmtId="2" fontId="81" fillId="0" borderId="0" xfId="0" applyNumberFormat="1" applyFont="1" applyAlignment="1" applyProtection="1">
      <alignment horizontal="center" vertical="center"/>
      <protection hidden="1"/>
    </xf>
    <xf numFmtId="0" fontId="60" fillId="0" borderId="187" xfId="0" applyFont="1" applyBorder="1" applyAlignment="1">
      <alignment horizontal="center"/>
    </xf>
    <xf numFmtId="0" fontId="172" fillId="0" borderId="0" xfId="0" applyFont="1" applyAlignment="1">
      <alignment horizontal="left" indent="5"/>
    </xf>
    <xf numFmtId="0" fontId="172" fillId="0" borderId="0" xfId="0" applyFont="1" applyAlignment="1">
      <alignment horizontal="center"/>
    </xf>
    <xf numFmtId="0" fontId="173" fillId="0" borderId="0" xfId="0" applyFont="1"/>
    <xf numFmtId="2" fontId="30" fillId="0" borderId="14" xfId="0" applyNumberFormat="1" applyFont="1" applyBorder="1" applyAlignment="1" applyProtection="1">
      <alignment horizontal="center"/>
      <protection locked="0"/>
    </xf>
    <xf numFmtId="0" fontId="5" fillId="0" borderId="17" xfId="0" applyFont="1" applyBorder="1" applyAlignment="1">
      <alignment vertical="top"/>
    </xf>
    <xf numFmtId="0" fontId="165" fillId="0" borderId="0" xfId="0" applyFont="1" applyAlignment="1">
      <alignment horizontal="center" vertical="center"/>
    </xf>
    <xf numFmtId="0" fontId="30" fillId="0" borderId="13" xfId="0" applyFont="1" applyBorder="1"/>
    <xf numFmtId="0" fontId="30" fillId="0" borderId="14" xfId="0" applyFont="1" applyBorder="1"/>
    <xf numFmtId="0" fontId="30" fillId="0" borderId="15" xfId="0" applyFont="1" applyBorder="1"/>
    <xf numFmtId="0" fontId="174" fillId="0" borderId="0" xfId="0" applyFont="1" applyAlignment="1">
      <alignment horizontal="right" vertical="center"/>
    </xf>
    <xf numFmtId="0" fontId="174" fillId="0" borderId="0" xfId="0" applyFont="1" applyAlignment="1">
      <alignment horizontal="center"/>
    </xf>
    <xf numFmtId="0" fontId="174" fillId="0" borderId="0" xfId="0" applyFont="1"/>
    <xf numFmtId="0" fontId="174" fillId="0" borderId="0" xfId="0" applyFont="1" applyAlignment="1">
      <alignment horizontal="right"/>
    </xf>
    <xf numFmtId="0" fontId="29" fillId="0" borderId="0" xfId="0" applyFont="1" applyAlignment="1">
      <alignment horizontal="left"/>
    </xf>
    <xf numFmtId="0" fontId="27" fillId="0" borderId="0" xfId="1" applyFont="1" applyAlignment="1">
      <alignment horizontal="left" vertical="center"/>
    </xf>
    <xf numFmtId="0" fontId="45" fillId="0" borderId="0" xfId="0" applyFont="1" applyAlignment="1">
      <alignment horizontal="center"/>
    </xf>
    <xf numFmtId="0" fontId="83" fillId="0" borderId="0" xfId="0" applyFont="1" applyAlignment="1">
      <alignment horizontal="center"/>
    </xf>
    <xf numFmtId="0" fontId="81" fillId="0" borderId="0" xfId="0" applyFont="1" applyAlignment="1" applyProtection="1">
      <alignment horizontal="center"/>
      <protection hidden="1"/>
    </xf>
    <xf numFmtId="0" fontId="0" fillId="9" borderId="0" xfId="0" applyFill="1" applyAlignment="1">
      <alignment wrapText="1"/>
    </xf>
    <xf numFmtId="0" fontId="0" fillId="9" borderId="0" xfId="0" applyFill="1" applyAlignment="1">
      <alignment horizontal="center" vertical="center" wrapText="1"/>
    </xf>
    <xf numFmtId="0" fontId="16" fillId="14" borderId="0" xfId="0" applyFont="1" applyFill="1" applyAlignment="1">
      <alignment horizontal="left" vertical="center" indent="1"/>
    </xf>
    <xf numFmtId="0" fontId="100" fillId="0" borderId="0" xfId="0" applyFont="1" applyAlignment="1">
      <alignment vertical="center"/>
    </xf>
    <xf numFmtId="0" fontId="103" fillId="0" borderId="0" xfId="0" applyFont="1" applyAlignment="1">
      <alignment vertical="center"/>
    </xf>
    <xf numFmtId="2" fontId="100" fillId="0" borderId="0" xfId="0" applyNumberFormat="1" applyFont="1" applyAlignment="1" applyProtection="1">
      <alignment vertical="center"/>
      <protection locked="0"/>
    </xf>
    <xf numFmtId="0" fontId="103" fillId="0" borderId="0" xfId="0" applyFont="1"/>
    <xf numFmtId="2" fontId="100" fillId="0" borderId="0" xfId="0" applyNumberFormat="1" applyFont="1" applyProtection="1">
      <protection locked="0"/>
    </xf>
    <xf numFmtId="0" fontId="104" fillId="0" borderId="0" xfId="0" applyFont="1" applyAlignment="1">
      <alignment vertical="center" wrapText="1"/>
    </xf>
    <xf numFmtId="0" fontId="63" fillId="5" borderId="12" xfId="0" applyFont="1" applyFill="1" applyBorder="1" applyAlignment="1">
      <alignment horizontal="center" vertical="center"/>
    </xf>
    <xf numFmtId="0" fontId="1" fillId="0" borderId="85" xfId="0" applyFont="1" applyBorder="1"/>
    <xf numFmtId="0" fontId="7" fillId="0" borderId="85" xfId="0" applyFont="1" applyBorder="1" applyAlignment="1">
      <alignment horizontal="right"/>
    </xf>
    <xf numFmtId="2" fontId="5" fillId="0" borderId="82" xfId="0" applyNumberFormat="1" applyFont="1" applyBorder="1" applyAlignment="1" applyProtection="1">
      <alignment horizontal="center"/>
      <protection locked="0"/>
    </xf>
    <xf numFmtId="0" fontId="99" fillId="0" borderId="85" xfId="0" applyFont="1" applyBorder="1" applyAlignment="1">
      <alignment vertical="center"/>
    </xf>
    <xf numFmtId="0" fontId="99" fillId="0" borderId="85" xfId="0" quotePrefix="1" applyFont="1" applyBorder="1" applyAlignment="1">
      <alignment vertical="center"/>
    </xf>
    <xf numFmtId="0" fontId="100" fillId="0" borderId="85" xfId="0" applyFont="1" applyBorder="1" applyAlignment="1">
      <alignment vertical="center"/>
    </xf>
    <xf numFmtId="0" fontId="101" fillId="0" borderId="85" xfId="0" applyFont="1" applyBorder="1" applyAlignment="1">
      <alignment vertical="center"/>
    </xf>
    <xf numFmtId="2" fontId="102" fillId="0" borderId="85" xfId="0" applyNumberFormat="1" applyFont="1" applyBorder="1" applyAlignment="1">
      <alignment vertical="center"/>
    </xf>
    <xf numFmtId="0" fontId="99" fillId="0" borderId="0" xfId="0" applyFont="1"/>
    <xf numFmtId="0" fontId="99" fillId="0" borderId="0" xfId="0" quotePrefix="1" applyFont="1" applyAlignment="1">
      <alignment vertical="center"/>
    </xf>
    <xf numFmtId="0" fontId="101" fillId="0" borderId="0" xfId="0" applyFont="1"/>
    <xf numFmtId="2" fontId="102" fillId="0" borderId="0" xfId="0" applyNumberFormat="1" applyFont="1"/>
    <xf numFmtId="2" fontId="5" fillId="0" borderId="88" xfId="0" applyNumberFormat="1" applyFont="1" applyBorder="1" applyAlignment="1" applyProtection="1">
      <alignment horizontal="center"/>
      <protection locked="0"/>
    </xf>
    <xf numFmtId="0" fontId="99" fillId="0" borderId="0" xfId="0" applyFont="1" applyAlignment="1">
      <alignment horizontal="left" vertical="center" indent="1"/>
    </xf>
    <xf numFmtId="0" fontId="1" fillId="0" borderId="12" xfId="0" applyFont="1" applyBorder="1"/>
    <xf numFmtId="0" fontId="1" fillId="0" borderId="74" xfId="0" applyFont="1" applyBorder="1"/>
    <xf numFmtId="0" fontId="79" fillId="0" borderId="0" xfId="0" applyFont="1" applyAlignment="1">
      <alignment horizontal="center" vertical="center"/>
    </xf>
    <xf numFmtId="0" fontId="0" fillId="0" borderId="0" xfId="0" applyAlignment="1">
      <alignment horizontal="center"/>
    </xf>
    <xf numFmtId="0" fontId="128" fillId="0" borderId="118" xfId="0" applyFont="1" applyBorder="1" applyAlignment="1">
      <alignment horizontal="center" vertical="center"/>
    </xf>
    <xf numFmtId="0" fontId="0" fillId="0" borderId="118" xfId="0" applyBorder="1"/>
    <xf numFmtId="0" fontId="18" fillId="0" borderId="0" xfId="0" applyFont="1" applyAlignment="1">
      <alignment horizontal="center"/>
    </xf>
    <xf numFmtId="0" fontId="0" fillId="0" borderId="0" xfId="0"/>
    <xf numFmtId="2" fontId="5" fillId="0" borderId="0" xfId="0" applyNumberFormat="1" applyFont="1" applyAlignment="1" applyProtection="1">
      <alignment horizontal="center"/>
      <protection locked="0"/>
    </xf>
    <xf numFmtId="0" fontId="0" fillId="0" borderId="0" xfId="0" applyProtection="1">
      <protection locked="0"/>
    </xf>
    <xf numFmtId="0" fontId="72" fillId="5" borderId="35" xfId="0" applyFont="1" applyFill="1" applyBorder="1" applyAlignment="1">
      <alignment horizontal="center" vertical="center"/>
    </xf>
    <xf numFmtId="0" fontId="0" fillId="0" borderId="40" xfId="0" applyBorder="1" applyAlignment="1">
      <alignment vertical="center"/>
    </xf>
    <xf numFmtId="0" fontId="72" fillId="5" borderId="210" xfId="0" applyFont="1" applyFill="1" applyBorder="1" applyAlignment="1">
      <alignment horizontal="center" vertical="center"/>
    </xf>
    <xf numFmtId="0" fontId="0" fillId="0" borderId="15" xfId="0" applyBorder="1" applyAlignment="1">
      <alignment vertical="center"/>
    </xf>
    <xf numFmtId="0" fontId="60" fillId="5" borderId="29" xfId="0" applyFont="1" applyFill="1" applyBorder="1" applyAlignment="1">
      <alignment horizontal="center" vertical="center" shrinkToFit="1"/>
    </xf>
    <xf numFmtId="0" fontId="0" fillId="0" borderId="31" xfId="0" applyBorder="1"/>
    <xf numFmtId="0" fontId="57" fillId="0" borderId="29" xfId="0" applyFont="1" applyBorder="1" applyAlignment="1">
      <alignment horizontal="center" vertical="center" shrinkToFit="1"/>
    </xf>
    <xf numFmtId="0" fontId="57" fillId="0" borderId="29" xfId="0" applyFont="1" applyBorder="1" applyAlignment="1">
      <alignment horizontal="center"/>
    </xf>
    <xf numFmtId="0" fontId="160" fillId="0" borderId="0" xfId="0" applyFont="1" applyAlignment="1">
      <alignment horizontal="center" vertical="center" shrinkToFit="1"/>
    </xf>
    <xf numFmtId="0" fontId="1" fillId="0" borderId="0" xfId="0" applyFont="1"/>
    <xf numFmtId="0" fontId="91" fillId="0" borderId="42" xfId="0" applyFont="1" applyBorder="1" applyAlignment="1">
      <alignment horizontal="center"/>
    </xf>
    <xf numFmtId="0" fontId="0" fillId="0" borderId="200" xfId="0" applyBorder="1"/>
    <xf numFmtId="0" fontId="0" fillId="0" borderId="201" xfId="0" applyBorder="1"/>
    <xf numFmtId="0" fontId="5" fillId="0" borderId="33" xfId="0" applyFont="1" applyBorder="1" applyAlignment="1" applyProtection="1">
      <alignment horizontal="center" vertical="center"/>
      <protection hidden="1"/>
    </xf>
    <xf numFmtId="0" fontId="0" fillId="0" borderId="36" xfId="0" applyBorder="1" applyProtection="1">
      <protection hidden="1"/>
    </xf>
    <xf numFmtId="0" fontId="0" fillId="0" borderId="202" xfId="0" applyBorder="1" applyProtection="1">
      <protection hidden="1"/>
    </xf>
    <xf numFmtId="0" fontId="33" fillId="0" borderId="0" xfId="0" applyFont="1"/>
    <xf numFmtId="0" fontId="1" fillId="0" borderId="105" xfId="0" applyFont="1" applyBorder="1"/>
    <xf numFmtId="0" fontId="0" fillId="0" borderId="105" xfId="0" applyBorder="1"/>
    <xf numFmtId="0" fontId="5" fillId="0" borderId="17" xfId="0" applyFont="1" applyBorder="1" applyAlignment="1">
      <alignment horizontal="left"/>
    </xf>
    <xf numFmtId="0" fontId="0" fillId="0" borderId="14" xfId="0" applyBorder="1"/>
    <xf numFmtId="0" fontId="0" fillId="0" borderId="15" xfId="0" applyBorder="1"/>
    <xf numFmtId="0" fontId="23" fillId="0" borderId="17" xfId="0" applyFont="1" applyBorder="1" applyAlignment="1">
      <alignment horizontal="center" vertical="center"/>
    </xf>
    <xf numFmtId="0" fontId="72" fillId="5" borderId="73" xfId="0" quotePrefix="1" applyFont="1" applyFill="1" applyBorder="1" applyAlignment="1">
      <alignment horizontal="center" vertical="center"/>
    </xf>
    <xf numFmtId="0" fontId="0" fillId="0" borderId="77" xfId="0" applyBorder="1"/>
    <xf numFmtId="0" fontId="52" fillId="0" borderId="32" xfId="0" applyFont="1" applyBorder="1" applyAlignment="1">
      <alignment horizontal="left" vertical="center" indent="6"/>
    </xf>
    <xf numFmtId="0" fontId="0" fillId="0" borderId="32" xfId="0" applyBorder="1"/>
    <xf numFmtId="0" fontId="52" fillId="0" borderId="32" xfId="0" applyFont="1" applyBorder="1" applyAlignment="1">
      <alignment horizontal="left" indent="6"/>
    </xf>
    <xf numFmtId="0" fontId="30" fillId="0" borderId="0" xfId="0" applyFont="1" applyAlignment="1">
      <alignment horizontal="right" vertical="center"/>
    </xf>
    <xf numFmtId="0" fontId="8" fillId="0" borderId="17" xfId="0" applyFont="1" applyBorder="1" applyAlignment="1">
      <alignment horizontal="center" vertical="center"/>
    </xf>
    <xf numFmtId="0" fontId="57" fillId="0" borderId="33" xfId="0" applyFont="1" applyBorder="1" applyAlignment="1">
      <alignment vertical="center"/>
    </xf>
    <xf numFmtId="0" fontId="0" fillId="0" borderId="202" xfId="0" applyBorder="1"/>
    <xf numFmtId="0" fontId="40" fillId="0" borderId="0" xfId="0" applyFont="1"/>
    <xf numFmtId="0" fontId="40" fillId="0" borderId="0" xfId="0" applyFont="1" applyAlignment="1">
      <alignment vertical="center"/>
    </xf>
    <xf numFmtId="0" fontId="40" fillId="0" borderId="0" xfId="0" applyFont="1" applyAlignment="1">
      <alignment horizontal="left" vertical="center" indent="2"/>
    </xf>
    <xf numFmtId="0" fontId="65" fillId="0" borderId="29" xfId="0" applyFont="1" applyBorder="1" applyAlignment="1">
      <alignment horizontal="center" shrinkToFit="1"/>
    </xf>
    <xf numFmtId="0" fontId="65" fillId="0" borderId="0" xfId="0" applyFont="1" applyAlignment="1">
      <alignment horizontal="center" shrinkToFit="1"/>
    </xf>
    <xf numFmtId="0" fontId="1" fillId="0" borderId="0" xfId="0" applyFont="1" applyAlignment="1">
      <alignment horizontal="left" indent="1"/>
    </xf>
    <xf numFmtId="0" fontId="5" fillId="0" borderId="17" xfId="0" applyFont="1" applyBorder="1" applyAlignment="1" applyProtection="1">
      <alignment vertical="center"/>
      <protection hidden="1"/>
    </xf>
    <xf numFmtId="0" fontId="0" fillId="0" borderId="15" xfId="0" applyBorder="1" applyProtection="1">
      <protection hidden="1"/>
    </xf>
    <xf numFmtId="0" fontId="35" fillId="0" borderId="0" xfId="0" applyFont="1"/>
    <xf numFmtId="0" fontId="5" fillId="0" borderId="29" xfId="0" applyFont="1" applyBorder="1" applyAlignment="1" applyProtection="1">
      <alignment horizontal="center" vertical="center"/>
      <protection hidden="1"/>
    </xf>
    <xf numFmtId="0" fontId="0" fillId="0" borderId="31" xfId="0" applyBorder="1" applyProtection="1">
      <protection hidden="1"/>
    </xf>
    <xf numFmtId="2" fontId="1" fillId="0" borderId="175" xfId="0" applyNumberFormat="1" applyFont="1" applyBorder="1" applyAlignment="1">
      <alignment horizontal="center"/>
    </xf>
    <xf numFmtId="0" fontId="0" fillId="0" borderId="175" xfId="0" applyBorder="1"/>
    <xf numFmtId="2" fontId="1" fillId="0" borderId="176" xfId="0" applyNumberFormat="1" applyFont="1" applyBorder="1" applyAlignment="1">
      <alignment horizontal="center"/>
    </xf>
    <xf numFmtId="0" fontId="0" fillId="0" borderId="176" xfId="0" applyBorder="1"/>
    <xf numFmtId="2" fontId="5" fillId="0" borderId="0" xfId="0" applyNumberFormat="1" applyFont="1" applyAlignment="1">
      <alignment horizontal="center"/>
    </xf>
    <xf numFmtId="2" fontId="8" fillId="0" borderId="0" xfId="0" applyNumberFormat="1" applyFont="1" applyAlignment="1">
      <alignment horizontal="center"/>
    </xf>
    <xf numFmtId="2" fontId="1" fillId="0" borderId="0" xfId="0" applyNumberFormat="1" applyFont="1" applyAlignment="1">
      <alignment horizontal="center"/>
    </xf>
    <xf numFmtId="167" fontId="5" fillId="0" borderId="0" xfId="0" applyNumberFormat="1" applyFont="1" applyAlignment="1">
      <alignment horizontal="center"/>
    </xf>
    <xf numFmtId="0" fontId="99" fillId="0" borderId="12" xfId="0" applyFont="1" applyBorder="1" applyAlignment="1">
      <alignment vertical="center"/>
    </xf>
    <xf numFmtId="0" fontId="0" fillId="0" borderId="12" xfId="0" applyBorder="1" applyAlignment="1">
      <alignment vertical="center"/>
    </xf>
    <xf numFmtId="0" fontId="174" fillId="0" borderId="0" xfId="0" applyFont="1" applyAlignment="1">
      <alignment horizontal="right" vertical="center"/>
    </xf>
    <xf numFmtId="0" fontId="5" fillId="0" borderId="13" xfId="0" applyFont="1" applyBorder="1" applyAlignment="1">
      <alignment horizontal="left"/>
    </xf>
    <xf numFmtId="0" fontId="29" fillId="0" borderId="14" xfId="0" applyFont="1" applyBorder="1" applyAlignment="1">
      <alignment horizontal="left"/>
    </xf>
    <xf numFmtId="0" fontId="29" fillId="0" borderId="15" xfId="0" applyFont="1" applyBorder="1" applyAlignment="1">
      <alignment horizontal="left"/>
    </xf>
    <xf numFmtId="0" fontId="148" fillId="13" borderId="203" xfId="0" applyFont="1" applyFill="1" applyBorder="1" applyAlignment="1">
      <alignment horizontal="center"/>
    </xf>
    <xf numFmtId="0" fontId="0" fillId="0" borderId="183" xfId="0" applyBorder="1"/>
    <xf numFmtId="0" fontId="147" fillId="0" borderId="204" xfId="0" applyFont="1" applyBorder="1" applyAlignment="1">
      <alignment horizontal="center"/>
    </xf>
    <xf numFmtId="0" fontId="0" fillId="0" borderId="182" xfId="0" applyBorder="1"/>
    <xf numFmtId="0" fontId="0" fillId="0" borderId="177" xfId="0" applyBorder="1" applyAlignment="1">
      <alignment horizontal="center" vertical="center" wrapText="1"/>
    </xf>
    <xf numFmtId="0" fontId="0" fillId="0" borderId="205" xfId="0" applyBorder="1"/>
    <xf numFmtId="0" fontId="0" fillId="0" borderId="206" xfId="0" applyBorder="1"/>
    <xf numFmtId="0" fontId="0" fillId="5" borderId="0" xfId="0" applyFill="1" applyAlignment="1">
      <alignment horizontal="right" vertical="center"/>
    </xf>
    <xf numFmtId="0" fontId="0" fillId="0" borderId="0" xfId="0" applyAlignment="1">
      <alignment horizontal="center" vertical="center"/>
    </xf>
    <xf numFmtId="0" fontId="0" fillId="0" borderId="177" xfId="0" applyBorder="1" applyAlignment="1">
      <alignment horizontal="center" vertical="center"/>
    </xf>
    <xf numFmtId="0" fontId="0" fillId="0" borderId="207" xfId="0" applyBorder="1"/>
    <xf numFmtId="0" fontId="0" fillId="0" borderId="208" xfId="0" applyBorder="1"/>
    <xf numFmtId="0" fontId="141" fillId="0" borderId="140" xfId="0" applyFont="1" applyBorder="1" applyAlignment="1">
      <alignment shrinkToFit="1"/>
    </xf>
    <xf numFmtId="0" fontId="0" fillId="0" borderId="115" xfId="0" applyBorder="1"/>
    <xf numFmtId="0" fontId="141" fillId="0" borderId="140" xfId="0" applyFont="1" applyBorder="1"/>
    <xf numFmtId="0" fontId="177" fillId="0" borderId="0" xfId="0" applyFont="1" applyAlignment="1">
      <alignment vertical="center"/>
    </xf>
  </cellXfs>
  <cellStyles count="4">
    <cellStyle name="Hyperlink" xfId="1" builtinId="8"/>
    <cellStyle name="Hyperlink 2" xfId="3" xr:uid="{00000000-0005-0000-0000-000003000000}"/>
    <cellStyle name="Normal" xfId="0" builtinId="0"/>
    <cellStyle name="Normal 2" xfId="2" xr:uid="{00000000-0005-0000-0000-000002000000}"/>
  </cellStyles>
  <dxfs count="56">
    <dxf>
      <font>
        <b/>
        <strike val="0"/>
        <condense val="0"/>
        <extend val="0"/>
        <outline val="0"/>
        <shadow val="0"/>
        <vertAlign val="baseline"/>
        <sz val="14"/>
        <color theme="2" tint="-0.499984740745262"/>
        <name val="Book Antiqua"/>
        <family val="1"/>
      </font>
      <alignment horizontal="left" vertical="top"/>
      <border>
        <left style="thin">
          <color theme="1"/>
        </left>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right style="thin">
          <color theme="1"/>
        </right>
        <top style="thin">
          <color theme="1"/>
        </top>
        <bottom style="thin">
          <color theme="1"/>
        </bottom>
        <vertical style="thin">
          <color theme="1"/>
        </vertical>
        <horizontal style="thin">
          <color theme="1"/>
        </horizontal>
      </border>
    </dxf>
    <dxf>
      <border>
        <top style="thin">
          <color rgb="FF000000"/>
        </top>
      </border>
    </dxf>
    <dxf>
      <border>
        <left style="medium">
          <color rgb="FF000000"/>
        </left>
        <right style="medium">
          <color rgb="FF000000"/>
        </right>
        <top style="medium">
          <color rgb="FF000000"/>
        </top>
        <bottom style="medium">
          <color rgb="FF000000"/>
        </bottom>
      </border>
    </dxf>
    <dxf>
      <font>
        <b/>
        <strike val="0"/>
        <condense val="0"/>
        <extend val="0"/>
        <outline val="0"/>
        <shadow val="0"/>
        <vertAlign val="baseline"/>
        <sz val="14"/>
        <color rgb="FF747474"/>
        <name val="Book Antiqua"/>
        <family val="1"/>
      </font>
      <alignment horizontal="left" vertical="top"/>
    </dxf>
    <dxf>
      <border>
        <bottom style="thin">
          <color rgb="FF000000"/>
        </bottom>
      </border>
    </dxf>
    <dxf>
      <font>
        <strike val="0"/>
        <condense val="0"/>
        <extend val="0"/>
        <outline val="0"/>
        <shadow val="0"/>
        <vertAlign val="baseline"/>
        <sz val="10"/>
        <color theme="2" tint="-0.499984740745262"/>
        <name val="Book Antiqua"/>
        <family val="1"/>
      </font>
      <alignment horizontal="center" vertical="bottom"/>
      <border>
        <left style="thin">
          <color theme="1"/>
        </left>
        <right style="thin">
          <color theme="1"/>
        </right>
        <top/>
        <bottom/>
        <vertical style="thin">
          <color theme="1"/>
        </vertical>
        <horizontal style="thin">
          <color theme="1"/>
        </horizontal>
      </border>
    </dxf>
    <dxf>
      <border diagonalUp="0" diagonalDown="0">
        <left style="medium">
          <color rgb="FF0000FF"/>
        </left>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alignment horizontal="center" vertical="center"/>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alignment horizontal="center" vertical="center" wrapText="1"/>
      <border diagonalUp="0" diagonalDown="0">
        <left style="medium">
          <color rgb="FF0000FF"/>
        </left>
        <right style="medium">
          <color rgb="FF0000FF"/>
        </right>
        <top style="medium">
          <color rgb="FF0000FF"/>
        </top>
        <bottom style="medium">
          <color rgb="FF0000FF"/>
        </bottom>
        <vertical style="medium">
          <color rgb="FF0000FF"/>
        </vertical>
        <horizontal style="medium">
          <color rgb="FF0000FF"/>
        </horizontal>
      </border>
    </dxf>
    <dxf>
      <border diagonalUp="0" diagonalDown="0">
        <left/>
        <right style="medium">
          <color rgb="FF0000FF"/>
        </right>
        <top style="medium">
          <color rgb="FF0000FF"/>
        </top>
        <bottom style="medium">
          <color rgb="FF0000FF"/>
        </bottom>
        <vertical style="medium">
          <color rgb="FF0000FF"/>
        </vertical>
        <horizontal style="medium">
          <color rgb="FF0000FF"/>
        </horizontal>
      </border>
    </dxf>
    <dxf>
      <border>
        <top style="medium">
          <color rgb="FF0000FF"/>
        </top>
      </border>
    </dxf>
    <dxf>
      <border diagonalUp="0" diagonalDown="0">
        <left style="medium">
          <color rgb="FF0000FF"/>
        </left>
        <right style="medium">
          <color rgb="FF0000FF"/>
        </right>
        <top style="medium">
          <color rgb="FF0000FF"/>
        </top>
        <bottom style="medium">
          <color rgb="FF0000FF"/>
        </bottom>
      </border>
    </dxf>
    <dxf>
      <border>
        <bottom style="medium">
          <color rgb="FF0000FF"/>
        </bottom>
      </border>
    </dxf>
    <dxf>
      <font>
        <b/>
        <strike val="0"/>
        <condense val="0"/>
        <extend val="0"/>
        <outline val="0"/>
        <shadow val="0"/>
        <vertAlign val="baseline"/>
        <sz val="11"/>
        <color theme="0"/>
        <name val="Aptos Narrow"/>
        <family val="2"/>
        <scheme val="minor"/>
      </font>
      <fill>
        <patternFill patternType="solid">
          <fgColor theme="4"/>
          <bgColor theme="4"/>
        </patternFill>
      </fill>
      <alignment horizontal="general" vertical="bottom" wrapText="1"/>
      <border diagonalUp="0" diagonalDown="0">
        <left style="medium">
          <color rgb="FF0000FF"/>
        </left>
        <right style="medium">
          <color rgb="FF0000FF"/>
        </right>
        <top/>
        <bottom/>
        <vertical style="medium">
          <color rgb="FF0000FF"/>
        </vertical>
        <horizontal style="medium">
          <color rgb="FF0000FF"/>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style="thin">
          <color theme="1"/>
        </left>
        <right style="thin">
          <color theme="1"/>
        </right>
        <top style="thin">
          <color theme="1"/>
        </top>
        <bottom style="thin">
          <color theme="1"/>
        </bottom>
        <vertical style="thin">
          <color theme="1"/>
        </vertical>
        <horizontal style="thin">
          <color theme="1"/>
        </horizontal>
      </border>
    </dxf>
    <dxf>
      <font>
        <b/>
        <strike val="0"/>
        <condense val="0"/>
        <extend val="0"/>
        <outline val="0"/>
        <shadow val="0"/>
        <vertAlign val="baseline"/>
        <sz val="14"/>
        <color theme="2" tint="-0.499984740745262"/>
        <name val="Book Antiqua"/>
        <family val="1"/>
      </font>
      <alignment horizontal="left" vertical="top"/>
      <border>
        <left/>
        <right style="thin">
          <color theme="1"/>
        </right>
        <top style="thin">
          <color theme="1"/>
        </top>
        <bottom style="thin">
          <color theme="1"/>
        </bottom>
        <vertical style="thin">
          <color theme="1"/>
        </vertical>
        <horizontal style="thin">
          <color theme="1"/>
        </horizontal>
      </border>
    </dxf>
    <dxf>
      <border>
        <top style="thin">
          <color theme="1"/>
        </top>
      </border>
    </dxf>
    <dxf>
      <border>
        <left style="medium">
          <color theme="1"/>
        </left>
        <right style="medium">
          <color theme="1"/>
        </right>
        <top style="medium">
          <color theme="1"/>
        </top>
        <bottom style="medium">
          <color theme="1"/>
        </bottom>
      </border>
    </dxf>
    <dxf>
      <font>
        <b/>
        <strike val="0"/>
        <condense val="0"/>
        <extend val="0"/>
        <outline val="0"/>
        <shadow val="0"/>
        <vertAlign val="baseline"/>
        <sz val="14"/>
        <color theme="2" tint="-0.499984740745262"/>
        <name val="Book Antiqua"/>
        <family val="1"/>
      </font>
      <alignment horizontal="left" vertical="top"/>
    </dxf>
    <dxf>
      <border>
        <bottom style="thin">
          <color theme="1"/>
        </bottom>
      </border>
    </dxf>
    <dxf>
      <font>
        <strike val="0"/>
        <condense val="0"/>
        <extend val="0"/>
        <outline val="0"/>
        <shadow val="0"/>
        <vertAlign val="baseline"/>
        <sz val="10"/>
        <color theme="2" tint="-0.499984740745262"/>
        <name val="Book Antiqua"/>
        <family val="1"/>
      </font>
      <alignment horizontal="center" vertical="bottom"/>
      <border>
        <left style="thin">
          <color theme="1"/>
        </left>
        <right style="thin">
          <color theme="1"/>
        </right>
        <top/>
        <bottom/>
        <vertical style="thin">
          <color theme="1"/>
        </vertical>
        <horizontal style="thin">
          <color theme="1"/>
        </horizontal>
      </border>
    </dxf>
    <dxf>
      <alignment horizontal="center" vertical="center"/>
    </dxf>
    <dxf>
      <alignment horizontal="center" vertical="center" wrapText="1"/>
    </dxf>
    <dxf>
      <border outline="0">
        <top style="thin">
          <color theme="4" tint="0.39997558519241921"/>
        </top>
      </border>
    </dxf>
    <dxf>
      <font>
        <b/>
        <strike val="0"/>
        <condense val="0"/>
        <extend val="0"/>
        <outline val="0"/>
        <shadow val="0"/>
        <vertAlign val="baseline"/>
        <sz val="11"/>
        <color theme="0"/>
        <name val="Aptos Narrow"/>
        <family val="2"/>
        <scheme val="minor"/>
      </font>
      <fill>
        <patternFill patternType="solid">
          <fgColor theme="4"/>
          <bgColor theme="4"/>
        </patternFill>
      </fill>
      <alignment horizontal="general" vertical="bottom" wrapText="1"/>
    </dxf>
    <dxf>
      <alignment horizontal="center" vertical="bottom"/>
    </dxf>
    <dxf>
      <alignment horizontal="center" vertical="bottom"/>
    </dxf>
    <dxf>
      <border>
        <left style="medium">
          <color theme="1"/>
        </left>
        <right style="medium">
          <color theme="1"/>
        </right>
        <top style="medium">
          <color theme="1"/>
        </top>
        <bottom style="medium">
          <color theme="1"/>
        </bottom>
      </border>
    </dxf>
    <dxf>
      <alignment horizontal="center" vertical="bottom"/>
    </dxf>
    <dxf>
      <alignment horizontal="center" vertical="bottom"/>
    </dxf>
    <dxf>
      <font>
        <strike val="0"/>
        <outline val="0"/>
        <shadow val="0"/>
        <vertAlign val="baseline"/>
        <sz val="14"/>
        <name val="Aptos Narrow"/>
        <family val="2"/>
        <scheme val="minor"/>
      </font>
      <alignment horizontal="center" vertical="center"/>
      <border outline="0">
        <left/>
        <right/>
        <top style="thin">
          <color theme="1" tint="0.249977111117893"/>
        </top>
        <bottom style="thin">
          <color theme="1" tint="0.249977111117893"/>
        </bottom>
      </border>
    </dxf>
    <dxf>
      <font>
        <strike val="0"/>
        <outline val="0"/>
        <shadow val="0"/>
        <vertAlign val="baseline"/>
        <sz val="12"/>
        <color theme="1"/>
        <name val="Aptos Narrow"/>
        <family val="2"/>
        <scheme val="minor"/>
      </font>
      <alignment horizontal="center" vertical="center"/>
      <border outline="0">
        <left/>
        <right style="thin">
          <color theme="1" tint="0.249977111117893"/>
        </right>
        <top style="thin">
          <color theme="1" tint="0.249977111117893"/>
        </top>
        <bottom style="thin">
          <color theme="1" tint="0.249977111117893"/>
        </bottom>
      </border>
    </dxf>
    <dxf>
      <border>
        <top style="thin">
          <color theme="1" tint="0.249977111117893"/>
        </top>
      </border>
    </dxf>
    <dxf>
      <border>
        <left style="thin">
          <color theme="1" tint="0.249977111117893"/>
        </left>
        <right style="thin">
          <color theme="1" tint="0.249977111117893"/>
        </right>
        <top style="thin">
          <color theme="1" tint="0.249977111117893"/>
        </top>
        <bottom style="thin">
          <color theme="1" tint="0.249977111117893"/>
        </bottom>
      </border>
    </dxf>
    <dxf>
      <font>
        <strike val="0"/>
        <outline val="0"/>
        <shadow val="0"/>
        <vertAlign val="baseline"/>
        <sz val="14"/>
        <name val="Aptos Narrow"/>
        <family val="2"/>
        <scheme val="minor"/>
      </font>
    </dxf>
    <dxf>
      <border>
        <bottom style="thin">
          <color theme="1" tint="0.249977111117893"/>
        </bottom>
      </border>
    </dxf>
    <dxf>
      <font>
        <strike val="0"/>
        <outline val="0"/>
        <shadow val="0"/>
        <vertAlign val="baseline"/>
        <sz val="14"/>
        <color theme="0"/>
        <name val="Aptos Narrow"/>
        <family val="2"/>
        <scheme val="minor"/>
      </font>
      <alignment horizontal="center" vertical="center"/>
      <border outline="0">
        <left style="thin">
          <color theme="1" tint="0.249977111117893"/>
        </left>
        <right style="thin">
          <color theme="1" tint="0.249977111117893"/>
        </right>
        <top/>
        <bottom/>
      </border>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19" Type="http://schemas.openxmlformats.org/officeDocument/2006/relationships/image" Target="../media/image22.png"/><Relationship Id="rId4" Type="http://schemas.openxmlformats.org/officeDocument/2006/relationships/image" Target="../media/image7.png"/><Relationship Id="rId9" Type="http://schemas.openxmlformats.org/officeDocument/2006/relationships/image" Target="../media/image12.gif"/><Relationship Id="rId14" Type="http://schemas.openxmlformats.org/officeDocument/2006/relationships/image" Target="../media/image17.png"/></Relationships>
</file>

<file path=xl/drawings/_rels/drawing5.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21.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20.png"/><Relationship Id="rId5" Type="http://schemas.openxmlformats.org/officeDocument/2006/relationships/image" Target="../media/image8.png"/><Relationship Id="rId10" Type="http://schemas.openxmlformats.org/officeDocument/2006/relationships/image" Target="../media/image19.png"/><Relationship Id="rId4" Type="http://schemas.openxmlformats.org/officeDocument/2006/relationships/image" Target="../media/image7.png"/><Relationship Id="rId9" Type="http://schemas.openxmlformats.org/officeDocument/2006/relationships/image" Target="../media/image12.gif"/></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8.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oneCellAnchor>
    <xdr:from>
      <xdr:col>11</xdr:col>
      <xdr:colOff>369381</xdr:colOff>
      <xdr:row>3</xdr:row>
      <xdr:rowOff>313765</xdr:rowOff>
    </xdr:from>
    <xdr:ext cx="7387197" cy="1486508"/>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2951906" y="1056715"/>
          <a:ext cx="7387197" cy="1486508"/>
        </a:xfrm>
        <a:prstGeom prst="rect">
          <a:avLst/>
        </a:prstGeom>
        <a:ln>
          <a:prstDash val="solid"/>
        </a:ln>
      </xdr:spPr>
    </xdr:pic>
    <xdr:clientData/>
  </xdr:oneCellAnchor>
</xdr:wsDr>
</file>

<file path=xl/drawings/drawing2.xml><?xml version="1.0" encoding="utf-8"?>
<xdr:wsDr xmlns:xdr="http://schemas.openxmlformats.org/drawingml/2006/spreadsheetDrawing" xmlns:a="http://schemas.openxmlformats.org/drawingml/2006/main">
  <xdr:oneCellAnchor>
    <xdr:from>
      <xdr:col>49</xdr:col>
      <xdr:colOff>59687</xdr:colOff>
      <xdr:row>6</xdr:row>
      <xdr:rowOff>53007</xdr:rowOff>
    </xdr:from>
    <xdr:ext cx="6218394" cy="3460570"/>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4607422" y="1330478"/>
          <a:ext cx="6218394" cy="3460570"/>
        </a:xfrm>
        <a:prstGeom prst="rect">
          <a:avLst/>
        </a:prstGeom>
        <a:ln>
          <a:prstDash val="solid"/>
        </a:ln>
      </xdr:spPr>
    </xdr:pic>
    <xdr:clientData/>
  </xdr:oneCellAnchor>
  <xdr:oneCellAnchor>
    <xdr:from>
      <xdr:col>11</xdr:col>
      <xdr:colOff>182217</xdr:colOff>
      <xdr:row>4</xdr:row>
      <xdr:rowOff>16565</xdr:rowOff>
    </xdr:from>
    <xdr:ext cx="6218394" cy="3460570"/>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0817087" y="894522"/>
          <a:ext cx="6218394" cy="3460570"/>
        </a:xfrm>
        <a:prstGeom prst="rect">
          <a:avLst/>
        </a:prstGeom>
        <a:ln>
          <a:prstDash val="solid"/>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22</xdr:row>
      <xdr:rowOff>16565</xdr:rowOff>
    </xdr:from>
    <xdr:to>
      <xdr:col>3</xdr:col>
      <xdr:colOff>543488</xdr:colOff>
      <xdr:row>34</xdr:row>
      <xdr:rowOff>150039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4207565"/>
          <a:ext cx="2895749" cy="2419474"/>
        </a:xfrm>
        <a:prstGeom prst="rect">
          <a:avLst/>
        </a:prstGeom>
        <a:ln>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34</xdr:col>
      <xdr:colOff>512886</xdr:colOff>
      <xdr:row>160</xdr:row>
      <xdr:rowOff>104383</xdr:rowOff>
    </xdr:from>
    <xdr:to>
      <xdr:col>40</xdr:col>
      <xdr:colOff>455541</xdr:colOff>
      <xdr:row>166</xdr:row>
      <xdr:rowOff>116521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6191036" y="25002733"/>
          <a:ext cx="4936929" cy="1212288"/>
        </a:xfrm>
        <a:prstGeom prst="rect">
          <a:avLst/>
        </a:prstGeom>
        <a:ln>
          <a:prstDash val="solid"/>
        </a:ln>
      </xdr:spPr>
    </xdr:pic>
    <xdr:clientData/>
  </xdr:twoCellAnchor>
  <xdr:twoCellAnchor editAs="oneCell">
    <xdr:from>
      <xdr:col>42</xdr:col>
      <xdr:colOff>854506</xdr:colOff>
      <xdr:row>475</xdr:row>
      <xdr:rowOff>28143</xdr:rowOff>
    </xdr:from>
    <xdr:to>
      <xdr:col>46</xdr:col>
      <xdr:colOff>271935</xdr:colOff>
      <xdr:row>482</xdr:row>
      <xdr:rowOff>98743</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22028581" y="47338818"/>
          <a:ext cx="5135602" cy="1560420"/>
        </a:xfrm>
        <a:prstGeom prst="rect">
          <a:avLst/>
        </a:prstGeom>
        <a:ln>
          <a:prstDash val="solid"/>
        </a:ln>
      </xdr:spPr>
    </xdr:pic>
    <xdr:clientData/>
  </xdr:twoCellAnchor>
  <xdr:twoCellAnchor editAs="oneCell">
    <xdr:from>
      <xdr:col>42</xdr:col>
      <xdr:colOff>878207</xdr:colOff>
      <xdr:row>485</xdr:row>
      <xdr:rowOff>97442</xdr:rowOff>
    </xdr:from>
    <xdr:to>
      <xdr:col>46</xdr:col>
      <xdr:colOff>346941</xdr:colOff>
      <xdr:row>492</xdr:row>
      <xdr:rowOff>86194</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a:stretch>
          <a:fillRect/>
        </a:stretch>
      </xdr:blipFill>
      <xdr:spPr>
        <a:xfrm>
          <a:off x="22052282" y="49208342"/>
          <a:ext cx="5186907" cy="1437300"/>
        </a:xfrm>
        <a:prstGeom prst="rect">
          <a:avLst/>
        </a:prstGeom>
        <a:ln>
          <a:prstDash val="solid"/>
        </a:ln>
      </xdr:spPr>
    </xdr:pic>
    <xdr:clientData/>
  </xdr:twoCellAnchor>
  <xdr:twoCellAnchor>
    <xdr:from>
      <xdr:col>42</xdr:col>
      <xdr:colOff>435000</xdr:colOff>
      <xdr:row>50</xdr:row>
      <xdr:rowOff>142081</xdr:rowOff>
    </xdr:from>
    <xdr:to>
      <xdr:col>49</xdr:col>
      <xdr:colOff>244243</xdr:colOff>
      <xdr:row>124</xdr:row>
      <xdr:rowOff>90049</xdr:rowOff>
    </xdr:to>
    <xdr:grpSp>
      <xdr:nvGrpSpPr>
        <xdr:cNvPr id="19" name="Group 18">
          <a:extLst>
            <a:ext uri="{FF2B5EF4-FFF2-40B4-BE49-F238E27FC236}">
              <a16:creationId xmlns:a16="http://schemas.microsoft.com/office/drawing/2014/main" id="{00000000-0008-0000-0400-000013000000}"/>
            </a:ext>
          </a:extLst>
        </xdr:cNvPr>
        <xdr:cNvGrpSpPr/>
      </xdr:nvGrpSpPr>
      <xdr:grpSpPr>
        <a:xfrm>
          <a:off x="36167357" y="10311152"/>
          <a:ext cx="8227529" cy="11768040"/>
          <a:chOff x="18339956" y="6390409"/>
          <a:chExt cx="8511886" cy="18520965"/>
        </a:xfrm>
      </xdr:grpSpPr>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rotWithShape="1">
          <a:blip xmlns:r="http://schemas.openxmlformats.org/officeDocument/2006/relationships" r:embed="rId4"/>
          <a:srcRect l="-202" t="12334" r="257"/>
          <a:stretch>
            <a:fillRect/>
          </a:stretch>
        </xdr:blipFill>
        <xdr:spPr>
          <a:xfrm>
            <a:off x="18339956" y="19249159"/>
            <a:ext cx="8511886" cy="5662215"/>
          </a:xfrm>
          <a:prstGeom prst="rect">
            <a:avLst/>
          </a:prstGeom>
          <a:ln>
            <a:prstDash val="solid"/>
          </a:ln>
        </xdr:spPr>
      </xdr:pic>
    </xdr:grpSp>
    <xdr:clientData/>
  </xdr:twoCellAnchor>
  <xdr:twoCellAnchor editAs="oneCell">
    <xdr:from>
      <xdr:col>28</xdr:col>
      <xdr:colOff>182467</xdr:colOff>
      <xdr:row>73</xdr:row>
      <xdr:rowOff>0</xdr:rowOff>
    </xdr:from>
    <xdr:to>
      <xdr:col>37</xdr:col>
      <xdr:colOff>896651</xdr:colOff>
      <xdr:row>118</xdr:row>
      <xdr:rowOff>124559</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5"/>
        <a:stretch>
          <a:fillRect/>
        </a:stretch>
      </xdr:blipFill>
      <xdr:spPr>
        <a:xfrm rot="5400000">
          <a:off x="20082905" y="13728348"/>
          <a:ext cx="5855434" cy="8889809"/>
        </a:xfrm>
        <a:prstGeom prst="rect">
          <a:avLst/>
        </a:prstGeom>
        <a:ln>
          <a:prstDash val="solid"/>
        </a:ln>
      </xdr:spPr>
    </xdr:pic>
    <xdr:clientData/>
  </xdr:twoCellAnchor>
  <xdr:twoCellAnchor editAs="oneCell">
    <xdr:from>
      <xdr:col>33</xdr:col>
      <xdr:colOff>179701</xdr:colOff>
      <xdr:row>28</xdr:row>
      <xdr:rowOff>193559</xdr:rowOff>
    </xdr:from>
    <xdr:to>
      <xdr:col>40</xdr:col>
      <xdr:colOff>576922</xdr:colOff>
      <xdr:row>68</xdr:row>
      <xdr:rowOff>29971</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6"/>
        <a:stretch>
          <a:fillRect/>
        </a:stretch>
      </xdr:blipFill>
      <xdr:spPr>
        <a:xfrm>
          <a:off x="23714389" y="5352934"/>
          <a:ext cx="6723409" cy="7980287"/>
        </a:xfrm>
        <a:prstGeom prst="rect">
          <a:avLst/>
        </a:prstGeom>
        <a:ln>
          <a:prstDash val="solid"/>
        </a:ln>
      </xdr:spPr>
    </xdr:pic>
    <xdr:clientData/>
  </xdr:twoCellAnchor>
  <xdr:twoCellAnchor editAs="oneCell">
    <xdr:from>
      <xdr:col>33</xdr:col>
      <xdr:colOff>175002</xdr:colOff>
      <xdr:row>146</xdr:row>
      <xdr:rowOff>43763</xdr:rowOff>
    </xdr:from>
    <xdr:to>
      <xdr:col>40</xdr:col>
      <xdr:colOff>292861</xdr:colOff>
      <xdr:row>156</xdr:row>
      <xdr:rowOff>130087</xdr:rowOff>
    </xdr:to>
    <xdr:pic>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7"/>
        <a:stretch>
          <a:fillRect/>
        </a:stretch>
      </xdr:blipFill>
      <xdr:spPr>
        <a:xfrm>
          <a:off x="14614902" y="22256063"/>
          <a:ext cx="6161473" cy="2165949"/>
        </a:xfrm>
        <a:prstGeom prst="rect">
          <a:avLst/>
        </a:prstGeom>
        <a:ln>
          <a:prstDash val="solid"/>
        </a:ln>
      </xdr:spPr>
    </xdr:pic>
    <xdr:clientData/>
  </xdr:twoCellAnchor>
  <xdr:twoCellAnchor editAs="oneCell">
    <xdr:from>
      <xdr:col>34</xdr:col>
      <xdr:colOff>64078</xdr:colOff>
      <xdr:row>156</xdr:row>
      <xdr:rowOff>196562</xdr:rowOff>
    </xdr:from>
    <xdr:to>
      <xdr:col>41</xdr:col>
      <xdr:colOff>245462</xdr:colOff>
      <xdr:row>159</xdr:row>
      <xdr:rowOff>99898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8"/>
        <a:stretch>
          <a:fillRect/>
        </a:stretch>
      </xdr:blipFill>
      <xdr:spPr>
        <a:xfrm>
          <a:off x="15742228" y="24304337"/>
          <a:ext cx="6032909" cy="493887"/>
        </a:xfrm>
        <a:prstGeom prst="rect">
          <a:avLst/>
        </a:prstGeom>
        <a:ln>
          <a:prstDash val="solid"/>
        </a:ln>
      </xdr:spPr>
    </xdr:pic>
    <xdr:clientData/>
  </xdr:twoCellAnchor>
  <xdr:twoCellAnchor editAs="oneCell">
    <xdr:from>
      <xdr:col>4</xdr:col>
      <xdr:colOff>808750</xdr:colOff>
      <xdr:row>369</xdr:row>
      <xdr:rowOff>3175</xdr:rowOff>
    </xdr:from>
    <xdr:to>
      <xdr:col>5</xdr:col>
      <xdr:colOff>932968</xdr:colOff>
      <xdr:row>372</xdr:row>
      <xdr:rowOff>12419</xdr:rowOff>
    </xdr:to>
    <xdr:pic>
      <xdr:nvPicPr>
        <xdr:cNvPr id="7" name="Picture 6" descr="1 + 1/sqrt(1 + (V o)/(6.95 A))">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9"/>
        <a:stretch>
          <a:fillRect/>
        </a:stretch>
      </xdr:blipFill>
      <xdr:spPr>
        <a:xfrm>
          <a:off x="2437853" y="58020278"/>
          <a:ext cx="1050267" cy="600295"/>
        </a:xfrm>
        <a:prstGeom prst="rect">
          <a:avLst/>
        </a:prstGeom>
        <a:ln>
          <a:prstDash val="solid"/>
        </a:ln>
      </xdr:spPr>
    </xdr:pic>
    <xdr:clientData/>
  </xdr:twoCellAnchor>
  <xdr:twoCellAnchor editAs="oneCell">
    <xdr:from>
      <xdr:col>13</xdr:col>
      <xdr:colOff>9525</xdr:colOff>
      <xdr:row>1</xdr:row>
      <xdr:rowOff>42770</xdr:rowOff>
    </xdr:from>
    <xdr:to>
      <xdr:col>18</xdr:col>
      <xdr:colOff>723094</xdr:colOff>
      <xdr:row>7</xdr:row>
      <xdr:rowOff>54940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0"/>
        <a:stretch>
          <a:fillRect/>
        </a:stretch>
      </xdr:blipFill>
      <xdr:spPr>
        <a:xfrm>
          <a:off x="9336088" y="209458"/>
          <a:ext cx="5118881" cy="1012295"/>
        </a:xfrm>
        <a:prstGeom prst="rect">
          <a:avLst/>
        </a:prstGeom>
        <a:ln>
          <a:prstDash val="solid"/>
        </a:ln>
      </xdr:spPr>
    </xdr:pic>
    <xdr:clientData/>
  </xdr:twoCellAnchor>
  <xdr:twoCellAnchor editAs="oneCell">
    <xdr:from>
      <xdr:col>2</xdr:col>
      <xdr:colOff>413273</xdr:colOff>
      <xdr:row>302</xdr:row>
      <xdr:rowOff>26521</xdr:rowOff>
    </xdr:from>
    <xdr:to>
      <xdr:col>9</xdr:col>
      <xdr:colOff>877170</xdr:colOff>
      <xdr:row>305</xdr:row>
      <xdr:rowOff>55607</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1"/>
        <a:stretch>
          <a:fillRect/>
        </a:stretch>
      </xdr:blipFill>
      <xdr:spPr>
        <a:xfrm>
          <a:off x="794273" y="51453238"/>
          <a:ext cx="6086796" cy="625433"/>
        </a:xfrm>
        <a:prstGeom prst="rect">
          <a:avLst/>
        </a:prstGeom>
        <a:ln>
          <a:prstDash val="solid"/>
        </a:ln>
      </xdr:spPr>
    </xdr:pic>
    <xdr:clientData/>
  </xdr:twoCellAnchor>
  <xdr:twoCellAnchor editAs="oneCell">
    <xdr:from>
      <xdr:col>3</xdr:col>
      <xdr:colOff>28575</xdr:colOff>
      <xdr:row>315</xdr:row>
      <xdr:rowOff>180974</xdr:rowOff>
    </xdr:from>
    <xdr:to>
      <xdr:col>10</xdr:col>
      <xdr:colOff>328612</xdr:colOff>
      <xdr:row>319</xdr:row>
      <xdr:rowOff>52429</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2"/>
        <a:stretch>
          <a:fillRect/>
        </a:stretch>
      </xdr:blipFill>
      <xdr:spPr>
        <a:xfrm>
          <a:off x="885825" y="53273324"/>
          <a:ext cx="6038850" cy="665205"/>
        </a:xfrm>
        <a:prstGeom prst="rect">
          <a:avLst/>
        </a:prstGeom>
        <a:ln>
          <a:prstDash val="solid"/>
        </a:ln>
      </xdr:spPr>
    </xdr:pic>
    <xdr:clientData/>
  </xdr:twoCellAnchor>
  <xdr:twoCellAnchor editAs="oneCell">
    <xdr:from>
      <xdr:col>3</xdr:col>
      <xdr:colOff>644814</xdr:colOff>
      <xdr:row>420</xdr:row>
      <xdr:rowOff>165347</xdr:rowOff>
    </xdr:from>
    <xdr:to>
      <xdr:col>17</xdr:col>
      <xdr:colOff>787612</xdr:colOff>
      <xdr:row>428</xdr:row>
      <xdr:rowOff>149088</xdr:rowOff>
    </xdr:to>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3"/>
        <a:stretch>
          <a:fillRect/>
        </a:stretch>
      </xdr:blipFill>
      <xdr:spPr>
        <a:xfrm>
          <a:off x="1473075" y="73118564"/>
          <a:ext cx="11379502" cy="1564477"/>
        </a:xfrm>
        <a:prstGeom prst="rect">
          <a:avLst/>
        </a:prstGeom>
        <a:ln>
          <a:prstDash val="solid"/>
        </a:ln>
      </xdr:spPr>
    </xdr:pic>
    <xdr:clientData/>
  </xdr:twoCellAnchor>
  <xdr:twoCellAnchor editAs="oneCell">
    <xdr:from>
      <xdr:col>4</xdr:col>
      <xdr:colOff>1240</xdr:colOff>
      <xdr:row>412</xdr:row>
      <xdr:rowOff>155628</xdr:rowOff>
    </xdr:from>
    <xdr:to>
      <xdr:col>17</xdr:col>
      <xdr:colOff>787986</xdr:colOff>
      <xdr:row>420</xdr:row>
      <xdr:rowOff>98053</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4"/>
        <a:stretch>
          <a:fillRect/>
        </a:stretch>
      </xdr:blipFill>
      <xdr:spPr>
        <a:xfrm>
          <a:off x="1483827" y="71427476"/>
          <a:ext cx="11372023" cy="1526677"/>
        </a:xfrm>
        <a:prstGeom prst="rect">
          <a:avLst/>
        </a:prstGeom>
        <a:ln>
          <a:prstDash val="solid"/>
        </a:ln>
      </xdr:spPr>
    </xdr:pic>
    <xdr:clientData/>
  </xdr:twoCellAnchor>
  <xdr:twoCellAnchor editAs="oneCell">
    <xdr:from>
      <xdr:col>4</xdr:col>
      <xdr:colOff>17669</xdr:colOff>
      <xdr:row>405</xdr:row>
      <xdr:rowOff>202864</xdr:rowOff>
    </xdr:from>
    <xdr:to>
      <xdr:col>17</xdr:col>
      <xdr:colOff>804579</xdr:colOff>
      <xdr:row>413</xdr:row>
      <xdr:rowOff>39253</xdr:rowOff>
    </xdr:to>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5"/>
        <a:stretch>
          <a:fillRect/>
        </a:stretch>
      </xdr:blipFill>
      <xdr:spPr>
        <a:xfrm>
          <a:off x="1500256" y="69710516"/>
          <a:ext cx="11372187" cy="1509566"/>
        </a:xfrm>
        <a:prstGeom prst="rect">
          <a:avLst/>
        </a:prstGeom>
        <a:ln>
          <a:prstDash val="solid"/>
        </a:ln>
      </xdr:spPr>
    </xdr:pic>
    <xdr:clientData/>
  </xdr:twoCellAnchor>
  <xdr:twoCellAnchor editAs="oneCell">
    <xdr:from>
      <xdr:col>0</xdr:col>
      <xdr:colOff>76200</xdr:colOff>
      <xdr:row>279</xdr:row>
      <xdr:rowOff>161925</xdr:rowOff>
    </xdr:from>
    <xdr:to>
      <xdr:col>4</xdr:col>
      <xdr:colOff>397171</xdr:colOff>
      <xdr:row>282</xdr:row>
      <xdr:rowOff>92145</xdr:rowOff>
    </xdr:to>
    <xdr:pic>
      <xdr:nvPicPr>
        <xdr:cNvPr id="42" name="Picture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6"/>
        <a:stretch>
          <a:fillRect/>
        </a:stretch>
      </xdr:blipFill>
      <xdr:spPr>
        <a:xfrm>
          <a:off x="76200" y="46091475"/>
          <a:ext cx="2124371" cy="511245"/>
        </a:xfrm>
        <a:prstGeom prst="rect">
          <a:avLst/>
        </a:prstGeom>
        <a:ln>
          <a:prstDash val="solid"/>
        </a:ln>
      </xdr:spPr>
    </xdr:pic>
    <xdr:clientData/>
  </xdr:twoCellAnchor>
  <xdr:twoCellAnchor editAs="oneCell">
    <xdr:from>
      <xdr:col>24</xdr:col>
      <xdr:colOff>146523</xdr:colOff>
      <xdr:row>284</xdr:row>
      <xdr:rowOff>164476</xdr:rowOff>
    </xdr:from>
    <xdr:to>
      <xdr:col>32</xdr:col>
      <xdr:colOff>881978</xdr:colOff>
      <xdr:row>318</xdr:row>
      <xdr:rowOff>154330</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7"/>
        <a:stretch>
          <a:fillRect/>
        </a:stretch>
      </xdr:blipFill>
      <xdr:spPr>
        <a:xfrm>
          <a:off x="13405323" y="48799126"/>
          <a:ext cx="6652800" cy="6362078"/>
        </a:xfrm>
        <a:prstGeom prst="rect">
          <a:avLst/>
        </a:prstGeom>
        <a:ln>
          <a:prstDash val="solid"/>
        </a:ln>
      </xdr:spPr>
    </xdr:pic>
    <xdr:clientData/>
  </xdr:twoCellAnchor>
  <xdr:oneCellAnchor>
    <xdr:from>
      <xdr:col>24</xdr:col>
      <xdr:colOff>126873</xdr:colOff>
      <xdr:row>233</xdr:row>
      <xdr:rowOff>19703</xdr:rowOff>
    </xdr:from>
    <xdr:ext cx="7002349" cy="10052747"/>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8"/>
        <a:stretch>
          <a:fillRect/>
        </a:stretch>
      </xdr:blipFill>
      <xdr:spPr>
        <a:xfrm>
          <a:off x="13385673" y="38548328"/>
          <a:ext cx="7002349" cy="10052747"/>
        </a:xfrm>
        <a:prstGeom prst="rect">
          <a:avLst/>
        </a:prstGeom>
        <a:ln>
          <a:prstDash val="solid"/>
        </a:ln>
      </xdr:spPr>
    </xdr:pic>
    <xdr:clientData/>
  </xdr:oneCellAnchor>
  <xdr:oneCellAnchor>
    <xdr:from>
      <xdr:col>3</xdr:col>
      <xdr:colOff>6571</xdr:colOff>
      <xdr:row>308</xdr:row>
      <xdr:rowOff>183933</xdr:rowOff>
    </xdr:from>
    <xdr:ext cx="6059661" cy="638441"/>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9"/>
        <a:stretch>
          <a:fillRect/>
        </a:stretch>
      </xdr:blipFill>
      <xdr:spPr>
        <a:xfrm>
          <a:off x="867962" y="50045237"/>
          <a:ext cx="6059661" cy="638441"/>
        </a:xfrm>
        <a:prstGeom prst="rect">
          <a:avLst/>
        </a:prstGeom>
        <a:ln>
          <a:prstDash val="solid"/>
        </a:ln>
      </xdr:spPr>
    </xdr:pic>
    <xdr:clientData/>
  </xdr:oneCellAnchor>
  <xdr:oneCellAnchor>
    <xdr:from>
      <xdr:col>3</xdr:col>
      <xdr:colOff>170994</xdr:colOff>
      <xdr:row>323</xdr:row>
      <xdr:rowOff>9386</xdr:rowOff>
    </xdr:from>
    <xdr:ext cx="6060784" cy="693175"/>
    <xdr:pic>
      <xdr:nvPicPr>
        <xdr:cNvPr id="40" name="Picture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20"/>
        <a:stretch>
          <a:fillRect/>
        </a:stretch>
      </xdr:blipFill>
      <xdr:spPr>
        <a:xfrm>
          <a:off x="1381229" y="55545739"/>
          <a:ext cx="6060784" cy="693175"/>
        </a:xfrm>
        <a:prstGeom prst="rect">
          <a:avLst/>
        </a:prstGeom>
        <a:ln>
          <a:prstDash val="solid"/>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34</xdr:col>
      <xdr:colOff>512886</xdr:colOff>
      <xdr:row>150</xdr:row>
      <xdr:rowOff>104383</xdr:rowOff>
    </xdr:from>
    <xdr:to>
      <xdr:col>40</xdr:col>
      <xdr:colOff>455540</xdr:colOff>
      <xdr:row>156</xdr:row>
      <xdr:rowOff>116521</xdr:rowOff>
    </xdr:to>
    <xdr:pic>
      <xdr:nvPicPr>
        <xdr:cNvPr id="2" name="Picture 1">
          <a:extLst>
            <a:ext uri="{FF2B5EF4-FFF2-40B4-BE49-F238E27FC236}">
              <a16:creationId xmlns:a16="http://schemas.microsoft.com/office/drawing/2014/main" id="{FBEC8F9A-1676-48DA-AB6D-ED38510AB5FE}"/>
            </a:ext>
          </a:extLst>
        </xdr:cNvPr>
        <xdr:cNvPicPr>
          <a:picLocks noChangeAspect="1"/>
        </xdr:cNvPicPr>
      </xdr:nvPicPr>
      <xdr:blipFill>
        <a:blip xmlns:r="http://schemas.openxmlformats.org/officeDocument/2006/relationships" r:embed="rId1"/>
        <a:stretch>
          <a:fillRect/>
        </a:stretch>
      </xdr:blipFill>
      <xdr:spPr>
        <a:xfrm>
          <a:off x="28668786" y="29276283"/>
          <a:ext cx="5168705" cy="1193238"/>
        </a:xfrm>
        <a:prstGeom prst="rect">
          <a:avLst/>
        </a:prstGeom>
        <a:ln>
          <a:prstDash val="solid"/>
        </a:ln>
      </xdr:spPr>
    </xdr:pic>
    <xdr:clientData/>
  </xdr:twoCellAnchor>
  <xdr:twoCellAnchor editAs="oneCell">
    <xdr:from>
      <xdr:col>42</xdr:col>
      <xdr:colOff>854506</xdr:colOff>
      <xdr:row>408</xdr:row>
      <xdr:rowOff>28143</xdr:rowOff>
    </xdr:from>
    <xdr:to>
      <xdr:col>46</xdr:col>
      <xdr:colOff>271936</xdr:colOff>
      <xdr:row>415</xdr:row>
      <xdr:rowOff>98743</xdr:rowOff>
    </xdr:to>
    <xdr:pic>
      <xdr:nvPicPr>
        <xdr:cNvPr id="3" name="Picture 2">
          <a:extLst>
            <a:ext uri="{FF2B5EF4-FFF2-40B4-BE49-F238E27FC236}">
              <a16:creationId xmlns:a16="http://schemas.microsoft.com/office/drawing/2014/main" id="{AB8DB11A-D49F-4D9E-9A6B-737F828C4D6C}"/>
            </a:ext>
          </a:extLst>
        </xdr:cNvPr>
        <xdr:cNvPicPr>
          <a:picLocks noChangeAspect="1"/>
        </xdr:cNvPicPr>
      </xdr:nvPicPr>
      <xdr:blipFill>
        <a:blip xmlns:r="http://schemas.openxmlformats.org/officeDocument/2006/relationships" r:embed="rId2"/>
        <a:stretch>
          <a:fillRect/>
        </a:stretch>
      </xdr:blipFill>
      <xdr:spPr>
        <a:xfrm>
          <a:off x="36566906" y="90083843"/>
          <a:ext cx="5138779" cy="1537450"/>
        </a:xfrm>
        <a:prstGeom prst="rect">
          <a:avLst/>
        </a:prstGeom>
        <a:ln>
          <a:prstDash val="solid"/>
        </a:ln>
      </xdr:spPr>
    </xdr:pic>
    <xdr:clientData/>
  </xdr:twoCellAnchor>
  <xdr:twoCellAnchor editAs="oneCell">
    <xdr:from>
      <xdr:col>42</xdr:col>
      <xdr:colOff>878207</xdr:colOff>
      <xdr:row>418</xdr:row>
      <xdr:rowOff>97442</xdr:rowOff>
    </xdr:from>
    <xdr:to>
      <xdr:col>46</xdr:col>
      <xdr:colOff>346942</xdr:colOff>
      <xdr:row>425</xdr:row>
      <xdr:rowOff>38569</xdr:rowOff>
    </xdr:to>
    <xdr:pic>
      <xdr:nvPicPr>
        <xdr:cNvPr id="4" name="Picture 3">
          <a:extLst>
            <a:ext uri="{FF2B5EF4-FFF2-40B4-BE49-F238E27FC236}">
              <a16:creationId xmlns:a16="http://schemas.microsoft.com/office/drawing/2014/main" id="{808E2FEC-E1BD-4712-828C-AD6F16318CD3}"/>
            </a:ext>
          </a:extLst>
        </xdr:cNvPr>
        <xdr:cNvPicPr>
          <a:picLocks noChangeAspect="1"/>
        </xdr:cNvPicPr>
      </xdr:nvPicPr>
      <xdr:blipFill>
        <a:blip xmlns:r="http://schemas.openxmlformats.org/officeDocument/2006/relationships" r:embed="rId3"/>
        <a:stretch>
          <a:fillRect/>
        </a:stretch>
      </xdr:blipFill>
      <xdr:spPr>
        <a:xfrm>
          <a:off x="36590607" y="92210542"/>
          <a:ext cx="5190084" cy="1455602"/>
        </a:xfrm>
        <a:prstGeom prst="rect">
          <a:avLst/>
        </a:prstGeom>
        <a:ln>
          <a:prstDash val="solid"/>
        </a:ln>
      </xdr:spPr>
    </xdr:pic>
    <xdr:clientData/>
  </xdr:twoCellAnchor>
  <xdr:twoCellAnchor>
    <xdr:from>
      <xdr:col>42</xdr:col>
      <xdr:colOff>435000</xdr:colOff>
      <xdr:row>47</xdr:row>
      <xdr:rowOff>142081</xdr:rowOff>
    </xdr:from>
    <xdr:to>
      <xdr:col>49</xdr:col>
      <xdr:colOff>244243</xdr:colOff>
      <xdr:row>115</xdr:row>
      <xdr:rowOff>90049</xdr:rowOff>
    </xdr:to>
    <xdr:grpSp>
      <xdr:nvGrpSpPr>
        <xdr:cNvPr id="5" name="Group 4">
          <a:extLst>
            <a:ext uri="{FF2B5EF4-FFF2-40B4-BE49-F238E27FC236}">
              <a16:creationId xmlns:a16="http://schemas.microsoft.com/office/drawing/2014/main" id="{91947858-B921-49E0-8CC7-65A319E327CD}"/>
            </a:ext>
          </a:extLst>
        </xdr:cNvPr>
        <xdr:cNvGrpSpPr/>
      </xdr:nvGrpSpPr>
      <xdr:grpSpPr>
        <a:xfrm>
          <a:off x="35923563" y="9738519"/>
          <a:ext cx="8222993" cy="9806343"/>
          <a:chOff x="18339956" y="6390409"/>
          <a:chExt cx="8511886" cy="18520965"/>
        </a:xfrm>
      </xdr:grpSpPr>
      <xdr:pic>
        <xdr:nvPicPr>
          <xdr:cNvPr id="6" name="Picture 5">
            <a:extLst>
              <a:ext uri="{FF2B5EF4-FFF2-40B4-BE49-F238E27FC236}">
                <a16:creationId xmlns:a16="http://schemas.microsoft.com/office/drawing/2014/main" id="{E0207D8F-BB9E-396B-2567-EB6355955B31}"/>
              </a:ext>
            </a:extLst>
          </xdr:cNvPr>
          <xdr:cNvPicPr>
            <a:picLocks noChangeAspect="1"/>
          </xdr:cNvPicPr>
        </xdr:nvPicPr>
        <xdr:blipFill rotWithShape="1">
          <a:blip xmlns:r="http://schemas.openxmlformats.org/officeDocument/2006/relationships" r:embed="rId4"/>
          <a:srcRect l="-202" t="12334" r="257"/>
          <a:stretch>
            <a:fillRect/>
          </a:stretch>
        </xdr:blipFill>
        <xdr:spPr>
          <a:xfrm>
            <a:off x="18339956" y="19249159"/>
            <a:ext cx="8511886" cy="5662215"/>
          </a:xfrm>
          <a:prstGeom prst="rect">
            <a:avLst/>
          </a:prstGeom>
          <a:ln>
            <a:prstDash val="solid"/>
          </a:ln>
        </xdr:spPr>
      </xdr:pic>
    </xdr:grpSp>
    <xdr:clientData/>
  </xdr:twoCellAnchor>
  <xdr:twoCellAnchor editAs="oneCell">
    <xdr:from>
      <xdr:col>28</xdr:col>
      <xdr:colOff>182467</xdr:colOff>
      <xdr:row>70</xdr:row>
      <xdr:rowOff>0</xdr:rowOff>
    </xdr:from>
    <xdr:to>
      <xdr:col>38</xdr:col>
      <xdr:colOff>1300</xdr:colOff>
      <xdr:row>118</xdr:row>
      <xdr:rowOff>149959</xdr:rowOff>
    </xdr:to>
    <xdr:pic>
      <xdr:nvPicPr>
        <xdr:cNvPr id="7" name="Picture 6">
          <a:extLst>
            <a:ext uri="{FF2B5EF4-FFF2-40B4-BE49-F238E27FC236}">
              <a16:creationId xmlns:a16="http://schemas.microsoft.com/office/drawing/2014/main" id="{A02EF2EF-8804-484A-BE43-CFEFEDE4268B}"/>
            </a:ext>
          </a:extLst>
        </xdr:cNvPr>
        <xdr:cNvPicPr>
          <a:picLocks noChangeAspect="1"/>
        </xdr:cNvPicPr>
      </xdr:nvPicPr>
      <xdr:blipFill>
        <a:blip xmlns:r="http://schemas.openxmlformats.org/officeDocument/2006/relationships" r:embed="rId5"/>
        <a:stretch>
          <a:fillRect/>
        </a:stretch>
      </xdr:blipFill>
      <xdr:spPr>
        <a:xfrm rot="5400000">
          <a:off x="24232629" y="13306888"/>
          <a:ext cx="5820509" cy="8899334"/>
        </a:xfrm>
        <a:prstGeom prst="rect">
          <a:avLst/>
        </a:prstGeom>
        <a:ln>
          <a:prstDash val="solid"/>
        </a:ln>
      </xdr:spPr>
    </xdr:pic>
    <xdr:clientData/>
  </xdr:twoCellAnchor>
  <xdr:twoCellAnchor editAs="oneCell">
    <xdr:from>
      <xdr:col>33</xdr:col>
      <xdr:colOff>179701</xdr:colOff>
      <xdr:row>25</xdr:row>
      <xdr:rowOff>193559</xdr:rowOff>
    </xdr:from>
    <xdr:to>
      <xdr:col>40</xdr:col>
      <xdr:colOff>576921</xdr:colOff>
      <xdr:row>65</xdr:row>
      <xdr:rowOff>29971</xdr:rowOff>
    </xdr:to>
    <xdr:pic>
      <xdr:nvPicPr>
        <xdr:cNvPr id="8" name="Picture 7">
          <a:extLst>
            <a:ext uri="{FF2B5EF4-FFF2-40B4-BE49-F238E27FC236}">
              <a16:creationId xmlns:a16="http://schemas.microsoft.com/office/drawing/2014/main" id="{C55558D5-3F32-4D2F-B64C-63C97CC87AB5}"/>
            </a:ext>
          </a:extLst>
        </xdr:cNvPr>
        <xdr:cNvPicPr>
          <a:picLocks noChangeAspect="1"/>
        </xdr:cNvPicPr>
      </xdr:nvPicPr>
      <xdr:blipFill>
        <a:blip xmlns:r="http://schemas.openxmlformats.org/officeDocument/2006/relationships" r:embed="rId6"/>
        <a:stretch>
          <a:fillRect/>
        </a:stretch>
      </xdr:blipFill>
      <xdr:spPr>
        <a:xfrm>
          <a:off x="27237051" y="5927609"/>
          <a:ext cx="6721821" cy="7932662"/>
        </a:xfrm>
        <a:prstGeom prst="rect">
          <a:avLst/>
        </a:prstGeom>
        <a:ln>
          <a:prstDash val="solid"/>
        </a:ln>
      </xdr:spPr>
    </xdr:pic>
    <xdr:clientData/>
  </xdr:twoCellAnchor>
  <xdr:twoCellAnchor editAs="oneCell">
    <xdr:from>
      <xdr:col>33</xdr:col>
      <xdr:colOff>175002</xdr:colOff>
      <xdr:row>136</xdr:row>
      <xdr:rowOff>43763</xdr:rowOff>
    </xdr:from>
    <xdr:to>
      <xdr:col>40</xdr:col>
      <xdr:colOff>292860</xdr:colOff>
      <xdr:row>146</xdr:row>
      <xdr:rowOff>130086</xdr:rowOff>
    </xdr:to>
    <xdr:pic>
      <xdr:nvPicPr>
        <xdr:cNvPr id="9" name="Picture 8">
          <a:extLst>
            <a:ext uri="{FF2B5EF4-FFF2-40B4-BE49-F238E27FC236}">
              <a16:creationId xmlns:a16="http://schemas.microsoft.com/office/drawing/2014/main" id="{78A27E52-4CEC-42EB-845A-65694735F7B3}"/>
            </a:ext>
          </a:extLst>
        </xdr:cNvPr>
        <xdr:cNvPicPr>
          <a:picLocks noChangeAspect="1"/>
        </xdr:cNvPicPr>
      </xdr:nvPicPr>
      <xdr:blipFill>
        <a:blip xmlns:r="http://schemas.openxmlformats.org/officeDocument/2006/relationships" r:embed="rId7"/>
        <a:stretch>
          <a:fillRect/>
        </a:stretch>
      </xdr:blipFill>
      <xdr:spPr>
        <a:xfrm>
          <a:off x="27232352" y="26370863"/>
          <a:ext cx="6442459" cy="2143724"/>
        </a:xfrm>
        <a:prstGeom prst="rect">
          <a:avLst/>
        </a:prstGeom>
        <a:ln>
          <a:prstDash val="solid"/>
        </a:ln>
      </xdr:spPr>
    </xdr:pic>
    <xdr:clientData/>
  </xdr:twoCellAnchor>
  <xdr:twoCellAnchor editAs="oneCell">
    <xdr:from>
      <xdr:col>34</xdr:col>
      <xdr:colOff>64078</xdr:colOff>
      <xdr:row>146</xdr:row>
      <xdr:rowOff>196562</xdr:rowOff>
    </xdr:from>
    <xdr:to>
      <xdr:col>41</xdr:col>
      <xdr:colOff>245462</xdr:colOff>
      <xdr:row>149</xdr:row>
      <xdr:rowOff>99899</xdr:rowOff>
    </xdr:to>
    <xdr:pic>
      <xdr:nvPicPr>
        <xdr:cNvPr id="10" name="Picture 9">
          <a:extLst>
            <a:ext uri="{FF2B5EF4-FFF2-40B4-BE49-F238E27FC236}">
              <a16:creationId xmlns:a16="http://schemas.microsoft.com/office/drawing/2014/main" id="{77482510-2C41-4EF5-9D80-65E9056FE1C7}"/>
            </a:ext>
          </a:extLst>
        </xdr:cNvPr>
        <xdr:cNvPicPr>
          <a:picLocks noChangeAspect="1"/>
        </xdr:cNvPicPr>
      </xdr:nvPicPr>
      <xdr:blipFill>
        <a:blip xmlns:r="http://schemas.openxmlformats.org/officeDocument/2006/relationships" r:embed="rId8"/>
        <a:stretch>
          <a:fillRect/>
        </a:stretch>
      </xdr:blipFill>
      <xdr:spPr>
        <a:xfrm>
          <a:off x="28219978" y="28581062"/>
          <a:ext cx="6302784" cy="493886"/>
        </a:xfrm>
        <a:prstGeom prst="rect">
          <a:avLst/>
        </a:prstGeom>
        <a:ln>
          <a:prstDash val="solid"/>
        </a:ln>
      </xdr:spPr>
    </xdr:pic>
    <xdr:clientData/>
  </xdr:twoCellAnchor>
  <xdr:twoCellAnchor editAs="oneCell">
    <xdr:from>
      <xdr:col>4</xdr:col>
      <xdr:colOff>808750</xdr:colOff>
      <xdr:row>326</xdr:row>
      <xdr:rowOff>3175</xdr:rowOff>
    </xdr:from>
    <xdr:to>
      <xdr:col>5</xdr:col>
      <xdr:colOff>932968</xdr:colOff>
      <xdr:row>329</xdr:row>
      <xdr:rowOff>12420</xdr:rowOff>
    </xdr:to>
    <xdr:pic>
      <xdr:nvPicPr>
        <xdr:cNvPr id="11" name="Picture 10" descr="1 + 1/sqrt(1 + (V o)/(6.95 A))">
          <a:extLst>
            <a:ext uri="{FF2B5EF4-FFF2-40B4-BE49-F238E27FC236}">
              <a16:creationId xmlns:a16="http://schemas.microsoft.com/office/drawing/2014/main" id="{DA8099AB-C5D3-4FCF-B73C-DF3BE1DAB97C}"/>
            </a:ext>
          </a:extLst>
        </xdr:cNvPr>
        <xdr:cNvPicPr>
          <a:picLocks noChangeAspect="1"/>
        </xdr:cNvPicPr>
      </xdr:nvPicPr>
      <xdr:blipFill>
        <a:blip xmlns:r="http://schemas.openxmlformats.org/officeDocument/2006/relationships" r:embed="rId9"/>
        <a:stretch>
          <a:fillRect/>
        </a:stretch>
      </xdr:blipFill>
      <xdr:spPr>
        <a:xfrm>
          <a:off x="2701050" y="67554475"/>
          <a:ext cx="1070368" cy="599794"/>
        </a:xfrm>
        <a:prstGeom prst="rect">
          <a:avLst/>
        </a:prstGeom>
        <a:ln>
          <a:prstDash val="solid"/>
        </a:ln>
      </xdr:spPr>
    </xdr:pic>
    <xdr:clientData/>
  </xdr:twoCellAnchor>
  <xdr:twoCellAnchor editAs="oneCell">
    <xdr:from>
      <xdr:col>13</xdr:col>
      <xdr:colOff>60325</xdr:colOff>
      <xdr:row>304</xdr:row>
      <xdr:rowOff>127000</xdr:rowOff>
    </xdr:from>
    <xdr:to>
      <xdr:col>15</xdr:col>
      <xdr:colOff>492421</xdr:colOff>
      <xdr:row>307</xdr:row>
      <xdr:rowOff>63570</xdr:rowOff>
    </xdr:to>
    <xdr:pic>
      <xdr:nvPicPr>
        <xdr:cNvPr id="18" name="Picture 17">
          <a:extLst>
            <a:ext uri="{FF2B5EF4-FFF2-40B4-BE49-F238E27FC236}">
              <a16:creationId xmlns:a16="http://schemas.microsoft.com/office/drawing/2014/main" id="{D48BBCE0-F4CD-424B-B2ED-B9C2A7F983F8}"/>
            </a:ext>
          </a:extLst>
        </xdr:cNvPr>
        <xdr:cNvPicPr>
          <a:picLocks noChangeAspect="1"/>
        </xdr:cNvPicPr>
      </xdr:nvPicPr>
      <xdr:blipFill>
        <a:blip xmlns:r="http://schemas.openxmlformats.org/officeDocument/2006/relationships" r:embed="rId10"/>
        <a:stretch>
          <a:fillRect/>
        </a:stretch>
      </xdr:blipFill>
      <xdr:spPr>
        <a:xfrm>
          <a:off x="9371013" y="40012938"/>
          <a:ext cx="2210096" cy="523945"/>
        </a:xfrm>
        <a:prstGeom prst="rect">
          <a:avLst/>
        </a:prstGeom>
        <a:ln>
          <a:prstDash val="solid"/>
        </a:ln>
      </xdr:spPr>
    </xdr:pic>
    <xdr:clientData/>
  </xdr:twoCellAnchor>
  <xdr:twoCellAnchor editAs="oneCell">
    <xdr:from>
      <xdr:col>24</xdr:col>
      <xdr:colOff>146523</xdr:colOff>
      <xdr:row>272</xdr:row>
      <xdr:rowOff>164476</xdr:rowOff>
    </xdr:from>
    <xdr:to>
      <xdr:col>32</xdr:col>
      <xdr:colOff>881977</xdr:colOff>
      <xdr:row>335</xdr:row>
      <xdr:rowOff>124792</xdr:rowOff>
    </xdr:to>
    <xdr:pic>
      <xdr:nvPicPr>
        <xdr:cNvPr id="19" name="Picture 18">
          <a:extLst>
            <a:ext uri="{FF2B5EF4-FFF2-40B4-BE49-F238E27FC236}">
              <a16:creationId xmlns:a16="http://schemas.microsoft.com/office/drawing/2014/main" id="{4CE04C3A-B25B-43F8-B537-23016F70B089}"/>
            </a:ext>
          </a:extLst>
        </xdr:cNvPr>
        <xdr:cNvPicPr>
          <a:picLocks noChangeAspect="1"/>
        </xdr:cNvPicPr>
      </xdr:nvPicPr>
      <xdr:blipFill>
        <a:blip xmlns:r="http://schemas.openxmlformats.org/officeDocument/2006/relationships" r:embed="rId11"/>
        <a:stretch>
          <a:fillRect/>
        </a:stretch>
      </xdr:blipFill>
      <xdr:spPr>
        <a:xfrm>
          <a:off x="20041073" y="53256826"/>
          <a:ext cx="6971155" cy="6289054"/>
        </a:xfrm>
        <a:prstGeom prst="rect">
          <a:avLst/>
        </a:prstGeom>
        <a:ln>
          <a:prstDash val="solid"/>
        </a:ln>
      </xdr:spPr>
    </xdr:pic>
    <xdr:clientData/>
  </xdr:twoCellAnchor>
  <xdr:oneCellAnchor>
    <xdr:from>
      <xdr:col>24</xdr:col>
      <xdr:colOff>126873</xdr:colOff>
      <xdr:row>226</xdr:row>
      <xdr:rowOff>0</xdr:rowOff>
    </xdr:from>
    <xdr:ext cx="7002349" cy="10052747"/>
    <xdr:pic>
      <xdr:nvPicPr>
        <xdr:cNvPr id="20" name="Picture 19">
          <a:extLst>
            <a:ext uri="{FF2B5EF4-FFF2-40B4-BE49-F238E27FC236}">
              <a16:creationId xmlns:a16="http://schemas.microsoft.com/office/drawing/2014/main" id="{0A967F1B-A2F5-413C-9361-616FE992C0A5}"/>
            </a:ext>
          </a:extLst>
        </xdr:cNvPr>
        <xdr:cNvPicPr>
          <a:picLocks noChangeAspect="1"/>
        </xdr:cNvPicPr>
      </xdr:nvPicPr>
      <xdr:blipFill>
        <a:blip xmlns:r="http://schemas.openxmlformats.org/officeDocument/2006/relationships" r:embed="rId12"/>
        <a:stretch>
          <a:fillRect/>
        </a:stretch>
      </xdr:blipFill>
      <xdr:spPr>
        <a:xfrm>
          <a:off x="20021423" y="42926653"/>
          <a:ext cx="7002349" cy="10052747"/>
        </a:xfrm>
        <a:prstGeom prst="rect">
          <a:avLst/>
        </a:prstGeom>
        <a:ln>
          <a:prstDash val="solid"/>
        </a:ln>
      </xdr:spPr>
    </xdr:pic>
    <xdr:clientData/>
  </xdr:oneCellAnchor>
</xdr:wsDr>
</file>

<file path=xl/drawings/drawing6.xml><?xml version="1.0" encoding="utf-8"?>
<xdr:wsDr xmlns:xdr="http://schemas.openxmlformats.org/drawingml/2006/spreadsheetDrawing" xmlns:a="http://schemas.openxmlformats.org/drawingml/2006/main">
  <xdr:oneCellAnchor>
    <xdr:from>
      <xdr:col>16</xdr:col>
      <xdr:colOff>315505</xdr:colOff>
      <xdr:row>0</xdr:row>
      <xdr:rowOff>0</xdr:rowOff>
    </xdr:from>
    <xdr:ext cx="6475820" cy="9296849"/>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7925980" y="0"/>
          <a:ext cx="6475820" cy="9296849"/>
        </a:xfrm>
        <a:prstGeom prst="rect">
          <a:avLst/>
        </a:prstGeom>
        <a:ln>
          <a:prstDash val="solid"/>
        </a:ln>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18</xdr:col>
      <xdr:colOff>297910</xdr:colOff>
      <xdr:row>8</xdr:row>
      <xdr:rowOff>146265</xdr:rowOff>
    </xdr:from>
    <xdr:to>
      <xdr:col>26</xdr:col>
      <xdr:colOff>476161</xdr:colOff>
      <xdr:row>28</xdr:row>
      <xdr:rowOff>55672</xdr:rowOff>
    </xdr:to>
    <xdr:pic>
      <xdr:nvPicPr>
        <xdr:cNvPr id="19" name="Picture 18">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1"/>
        <a:stretch>
          <a:fillRect/>
        </a:stretch>
      </xdr:blipFill>
      <xdr:spPr>
        <a:xfrm>
          <a:off x="16327124" y="1833551"/>
          <a:ext cx="5934073" cy="4862407"/>
        </a:xfrm>
        <a:prstGeom prst="rect">
          <a:avLst/>
        </a:prstGeom>
        <a:ln>
          <a:prstDash val="solid"/>
        </a:ln>
      </xdr:spPr>
    </xdr:pic>
    <xdr:clientData/>
  </xdr:twoCellAnchor>
  <xdr:twoCellAnchor editAs="oneCell">
    <xdr:from>
      <xdr:col>29</xdr:col>
      <xdr:colOff>38346</xdr:colOff>
      <xdr:row>8</xdr:row>
      <xdr:rowOff>29833</xdr:rowOff>
    </xdr:from>
    <xdr:to>
      <xdr:col>38</xdr:col>
      <xdr:colOff>263796</xdr:colOff>
      <xdr:row>20</xdr:row>
      <xdr:rowOff>22349</xdr:rowOff>
    </xdr:to>
    <xdr:pic>
      <xdr:nvPicPr>
        <xdr:cNvPr id="21" name="Picture 20">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2"/>
        <a:stretch>
          <a:fillRect/>
        </a:stretch>
      </xdr:blipFill>
      <xdr:spPr>
        <a:xfrm>
          <a:off x="23660346" y="1717119"/>
          <a:ext cx="5736343" cy="2986087"/>
        </a:xfrm>
        <a:prstGeom prst="rect">
          <a:avLst/>
        </a:prstGeom>
        <a:ln>
          <a:prstDash val="solid"/>
        </a:ln>
      </xdr:spPr>
    </xdr:pic>
    <xdr:clientData/>
  </xdr:twoCellAnchor>
  <xdr:twoCellAnchor editAs="oneCell">
    <xdr:from>
      <xdr:col>12</xdr:col>
      <xdr:colOff>564138</xdr:colOff>
      <xdr:row>52</xdr:row>
      <xdr:rowOff>133921</xdr:rowOff>
    </xdr:from>
    <xdr:to>
      <xdr:col>19</xdr:col>
      <xdr:colOff>307947</xdr:colOff>
      <xdr:row>73</xdr:row>
      <xdr:rowOff>125420</xdr:rowOff>
    </xdr:to>
    <xdr:pic>
      <xdr:nvPicPr>
        <xdr:cNvPr id="52" name="Picture 51">
          <a:extLst>
            <a:ext uri="{FF2B5EF4-FFF2-40B4-BE49-F238E27FC236}">
              <a16:creationId xmlns:a16="http://schemas.microsoft.com/office/drawing/2014/main" id="{00000000-0008-0000-0C00-000034000000}"/>
            </a:ext>
          </a:extLst>
        </xdr:cNvPr>
        <xdr:cNvPicPr>
          <a:picLocks noChangeAspect="1"/>
        </xdr:cNvPicPr>
      </xdr:nvPicPr>
      <xdr:blipFill>
        <a:blip xmlns:r="http://schemas.openxmlformats.org/officeDocument/2006/relationships" r:embed="rId3"/>
        <a:stretch>
          <a:fillRect/>
        </a:stretch>
      </xdr:blipFill>
      <xdr:spPr>
        <a:xfrm>
          <a:off x="9327138" y="11954446"/>
          <a:ext cx="8443447" cy="4479016"/>
        </a:xfrm>
        <a:prstGeom prst="rect">
          <a:avLst/>
        </a:prstGeom>
        <a:ln>
          <a:prstDash val="solid"/>
        </a:ln>
      </xdr:spPr>
    </xdr:pic>
    <xdr:clientData/>
  </xdr:twoCellAnchor>
  <xdr:twoCellAnchor editAs="oneCell">
    <xdr:from>
      <xdr:col>13</xdr:col>
      <xdr:colOff>44480</xdr:colOff>
      <xdr:row>74</xdr:row>
      <xdr:rowOff>236129</xdr:rowOff>
    </xdr:from>
    <xdr:to>
      <xdr:col>20</xdr:col>
      <xdr:colOff>194596</xdr:colOff>
      <xdr:row>87</xdr:row>
      <xdr:rowOff>17058</xdr:rowOff>
    </xdr:to>
    <xdr:pic>
      <xdr:nvPicPr>
        <xdr:cNvPr id="53" name="Picture 52">
          <a:extLst>
            <a:ext uri="{FF2B5EF4-FFF2-40B4-BE49-F238E27FC236}">
              <a16:creationId xmlns:a16="http://schemas.microsoft.com/office/drawing/2014/main" id="{00000000-0008-0000-0C00-000035000000}"/>
            </a:ext>
          </a:extLst>
        </xdr:cNvPr>
        <xdr:cNvPicPr>
          <a:picLocks noChangeAspect="1"/>
        </xdr:cNvPicPr>
      </xdr:nvPicPr>
      <xdr:blipFill>
        <a:blip xmlns:r="http://schemas.openxmlformats.org/officeDocument/2006/relationships" r:embed="rId4"/>
        <a:stretch>
          <a:fillRect/>
        </a:stretch>
      </xdr:blipFill>
      <xdr:spPr>
        <a:xfrm>
          <a:off x="9436958" y="16668825"/>
          <a:ext cx="8855138" cy="2605299"/>
        </a:xfrm>
        <a:prstGeom prst="rect">
          <a:avLst/>
        </a:prstGeom>
        <a:ln>
          <a:prstDash val="solid"/>
        </a:ln>
      </xdr:spPr>
    </xdr:pic>
    <xdr:clientData/>
  </xdr:twoCellAnchor>
  <xdr:twoCellAnchor editAs="oneCell">
    <xdr:from>
      <xdr:col>20</xdr:col>
      <xdr:colOff>141259</xdr:colOff>
      <xdr:row>30</xdr:row>
      <xdr:rowOff>28795</xdr:rowOff>
    </xdr:from>
    <xdr:to>
      <xdr:col>34</xdr:col>
      <xdr:colOff>447906</xdr:colOff>
      <xdr:row>52</xdr:row>
      <xdr:rowOff>117781</xdr:rowOff>
    </xdr:to>
    <xdr:pic>
      <xdr:nvPicPr>
        <xdr:cNvPr id="59" name="Picture 58">
          <a:extLst>
            <a:ext uri="{FF2B5EF4-FFF2-40B4-BE49-F238E27FC236}">
              <a16:creationId xmlns:a16="http://schemas.microsoft.com/office/drawing/2014/main" id="{00000000-0008-0000-0C00-00003B000000}"/>
            </a:ext>
          </a:extLst>
        </xdr:cNvPr>
        <xdr:cNvPicPr>
          <a:picLocks noChangeAspect="1"/>
        </xdr:cNvPicPr>
      </xdr:nvPicPr>
      <xdr:blipFill>
        <a:blip xmlns:r="http://schemas.openxmlformats.org/officeDocument/2006/relationships" r:embed="rId5"/>
        <a:stretch>
          <a:fillRect/>
        </a:stretch>
      </xdr:blipFill>
      <xdr:spPr>
        <a:xfrm>
          <a:off x="18252366" y="7158938"/>
          <a:ext cx="8879147" cy="4750320"/>
        </a:xfrm>
        <a:prstGeom prst="rect">
          <a:avLst/>
        </a:prstGeom>
        <a:ln>
          <a:prstDash val="solid"/>
        </a:ln>
      </xdr:spPr>
    </xdr:pic>
    <xdr:clientData/>
  </xdr:twoCellAnchor>
  <xdr:twoCellAnchor editAs="oneCell">
    <xdr:from>
      <xdr:col>20</xdr:col>
      <xdr:colOff>295944</xdr:colOff>
      <xdr:row>53</xdr:row>
      <xdr:rowOff>58991</xdr:rowOff>
    </xdr:from>
    <xdr:to>
      <xdr:col>35</xdr:col>
      <xdr:colOff>28409</xdr:colOff>
      <xdr:row>83</xdr:row>
      <xdr:rowOff>63714</xdr:rowOff>
    </xdr:to>
    <xdr:pic>
      <xdr:nvPicPr>
        <xdr:cNvPr id="64" name="Picture 63">
          <a:extLst>
            <a:ext uri="{FF2B5EF4-FFF2-40B4-BE49-F238E27FC236}">
              <a16:creationId xmlns:a16="http://schemas.microsoft.com/office/drawing/2014/main" id="{00000000-0008-0000-0C00-000040000000}"/>
            </a:ext>
          </a:extLst>
        </xdr:cNvPr>
        <xdr:cNvPicPr>
          <a:picLocks noChangeAspect="1"/>
        </xdr:cNvPicPr>
      </xdr:nvPicPr>
      <xdr:blipFill>
        <a:blip xmlns:r="http://schemas.openxmlformats.org/officeDocument/2006/relationships" r:embed="rId6"/>
        <a:stretch>
          <a:fillRect/>
        </a:stretch>
      </xdr:blipFill>
      <xdr:spPr>
        <a:xfrm>
          <a:off x="18364869" y="12098591"/>
          <a:ext cx="8876465" cy="6486278"/>
        </a:xfrm>
        <a:prstGeom prst="rect">
          <a:avLst/>
        </a:prstGeom>
        <a:ln>
          <a:prstDash val="solid"/>
        </a:ln>
      </xdr:spPr>
    </xdr:pic>
    <xdr:clientData/>
  </xdr:twoCellAnchor>
  <xdr:twoCellAnchor editAs="oneCell">
    <xdr:from>
      <xdr:col>26</xdr:col>
      <xdr:colOff>518304</xdr:colOff>
      <xdr:row>58</xdr:row>
      <xdr:rowOff>185244</xdr:rowOff>
    </xdr:from>
    <xdr:to>
      <xdr:col>34</xdr:col>
      <xdr:colOff>550132</xdr:colOff>
      <xdr:row>65</xdr:row>
      <xdr:rowOff>47625</xdr:rowOff>
    </xdr:to>
    <xdr:pic>
      <xdr:nvPicPr>
        <xdr:cNvPr id="60" name="Picture 59">
          <a:extLst>
            <a:ext uri="{FF2B5EF4-FFF2-40B4-BE49-F238E27FC236}">
              <a16:creationId xmlns:a16="http://schemas.microsoft.com/office/drawing/2014/main" id="{00000000-0008-0000-0C00-00003C000000}"/>
            </a:ext>
          </a:extLst>
        </xdr:cNvPr>
        <xdr:cNvPicPr>
          <a:picLocks noChangeAspect="1"/>
        </xdr:cNvPicPr>
      </xdr:nvPicPr>
      <xdr:blipFill>
        <a:blip xmlns:r="http://schemas.openxmlformats.org/officeDocument/2006/relationships" r:embed="rId7"/>
        <a:stretch>
          <a:fillRect/>
        </a:stretch>
      </xdr:blipFill>
      <xdr:spPr>
        <a:xfrm>
          <a:off x="22016229" y="13291644"/>
          <a:ext cx="4908628" cy="1329231"/>
        </a:xfrm>
        <a:prstGeom prst="rect">
          <a:avLst/>
        </a:prstGeom>
        <a:ln>
          <a:prstDash val="soli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xdr:colOff>
      <xdr:row>0</xdr:row>
      <xdr:rowOff>36793</xdr:rowOff>
    </xdr:from>
    <xdr:to>
      <xdr:col>12</xdr:col>
      <xdr:colOff>593913</xdr:colOff>
      <xdr:row>57</xdr:row>
      <xdr:rowOff>171262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3" y="36793"/>
          <a:ext cx="7855322" cy="10354234"/>
        </a:xfrm>
        <a:prstGeom prst="rect">
          <a:avLst/>
        </a:prstGeom>
        <a:ln>
          <a:prstDash val="soli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10</xdr:col>
      <xdr:colOff>603250</xdr:colOff>
      <xdr:row>42</xdr:row>
      <xdr:rowOff>215900</xdr:rowOff>
    </xdr:to>
    <xdr:sp macro="" textlink="">
      <xdr:nvSpPr>
        <xdr:cNvPr id="43009" name="AutoShape 1" descr="Uploaded image">
          <a:extLst>
            <a:ext uri="{FF2B5EF4-FFF2-40B4-BE49-F238E27FC236}">
              <a16:creationId xmlns:a16="http://schemas.microsoft.com/office/drawing/2014/main" id="{3111AE2F-080B-620D-C751-3DDF9B1861AF}"/>
            </a:ext>
          </a:extLst>
        </xdr:cNvPr>
        <xdr:cNvSpPr>
          <a:spLocks noChangeAspect="1" noChangeArrowheads="1"/>
        </xdr:cNvSpPr>
      </xdr:nvSpPr>
      <xdr:spPr bwMode="auto">
        <a:xfrm>
          <a:off x="0" y="184150"/>
          <a:ext cx="6699250" cy="79565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25400</xdr:colOff>
      <xdr:row>0</xdr:row>
      <xdr:rowOff>0</xdr:rowOff>
    </xdr:from>
    <xdr:to>
      <xdr:col>11</xdr:col>
      <xdr:colOff>19050</xdr:colOff>
      <xdr:row>42</xdr:row>
      <xdr:rowOff>31750</xdr:rowOff>
    </xdr:to>
    <xdr:sp macro="" textlink="">
      <xdr:nvSpPr>
        <xdr:cNvPr id="43010" name="AutoShape 2" descr="Uploaded image">
          <a:extLst>
            <a:ext uri="{FF2B5EF4-FFF2-40B4-BE49-F238E27FC236}">
              <a16:creationId xmlns:a16="http://schemas.microsoft.com/office/drawing/2014/main" id="{FD2C0E49-8C3F-DD41-7C68-241DCC8AFED6}"/>
            </a:ext>
          </a:extLst>
        </xdr:cNvPr>
        <xdr:cNvSpPr>
          <a:spLocks noChangeAspect="1" noChangeArrowheads="1"/>
        </xdr:cNvSpPr>
      </xdr:nvSpPr>
      <xdr:spPr bwMode="auto">
        <a:xfrm>
          <a:off x="25400" y="0"/>
          <a:ext cx="6699250" cy="79565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xdr:row>
      <xdr:rowOff>0</xdr:rowOff>
    </xdr:from>
    <xdr:to>
      <xdr:col>11</xdr:col>
      <xdr:colOff>603250</xdr:colOff>
      <xdr:row>43</xdr:row>
      <xdr:rowOff>177800</xdr:rowOff>
    </xdr:to>
    <xdr:sp macro="" textlink="">
      <xdr:nvSpPr>
        <xdr:cNvPr id="43011" name="AutoShape 3" descr="Uploaded image">
          <a:extLst>
            <a:ext uri="{FF2B5EF4-FFF2-40B4-BE49-F238E27FC236}">
              <a16:creationId xmlns:a16="http://schemas.microsoft.com/office/drawing/2014/main" id="{E99FD1BB-E31A-AB6B-0B6F-B25B323AE41E}"/>
            </a:ext>
          </a:extLst>
        </xdr:cNvPr>
        <xdr:cNvSpPr>
          <a:spLocks noChangeAspect="1" noChangeArrowheads="1"/>
        </xdr:cNvSpPr>
      </xdr:nvSpPr>
      <xdr:spPr bwMode="auto">
        <a:xfrm>
          <a:off x="609600" y="368300"/>
          <a:ext cx="6699250" cy="79565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coveredExternalLink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C-2"/>
      <sheetName val="Lookup"/>
      <sheetName val="Query"/>
      <sheetName val="Calcs"/>
      <sheetName val="Alberta"/>
      <sheetName val="British Columbia"/>
      <sheetName val="Manitoba"/>
      <sheetName val="Northwest Territories"/>
      <sheetName val="Nova Scotia"/>
      <sheetName val="Nunavut"/>
      <sheetName val="Ontario"/>
      <sheetName val="Prince Edward Island"/>
      <sheetName val="Quebec"/>
      <sheetName val="Saskatchewan"/>
      <sheetName val="Yukon"/>
    </sheetNames>
    <sheetDataSet>
      <sheetData sheetId="0" refreshError="1"/>
      <sheetData sheetId="1" refreshError="1">
        <row r="2">
          <cell r="A2" t="str">
            <v>Alberta</v>
          </cell>
          <cell r="B2" t="str">
            <v>100 Mile House</v>
          </cell>
        </row>
        <row r="3">
          <cell r="B3" t="str">
            <v>Abbotsford</v>
          </cell>
        </row>
        <row r="4">
          <cell r="B4" t="str">
            <v>Agassiz</v>
          </cell>
        </row>
        <row r="5">
          <cell r="B5" t="str">
            <v>Alberni</v>
          </cell>
        </row>
        <row r="6">
          <cell r="B6" t="str">
            <v>Ashcroft</v>
          </cell>
        </row>
        <row r="7">
          <cell r="B7" t="str">
            <v>Bamfield</v>
          </cell>
        </row>
        <row r="8">
          <cell r="B8" t="str">
            <v>Beatton River</v>
          </cell>
        </row>
        <row r="9">
          <cell r="B9" t="str">
            <v>Bella Bella</v>
          </cell>
        </row>
        <row r="10">
          <cell r="B10" t="str">
            <v>Bella Coola</v>
          </cell>
        </row>
        <row r="11">
          <cell r="B11" t="str">
            <v>Burns Lake</v>
          </cell>
        </row>
        <row r="12">
          <cell r="B12" t="str">
            <v>Cache Creek</v>
          </cell>
        </row>
        <row r="13">
          <cell r="B13" t="str">
            <v>Campbell River</v>
          </cell>
        </row>
        <row r="14">
          <cell r="B14" t="str">
            <v>Carmi</v>
          </cell>
        </row>
        <row r="15">
          <cell r="B15" t="str">
            <v>Castlegar</v>
          </cell>
        </row>
        <row r="16">
          <cell r="B16" t="str">
            <v>Chetwynd</v>
          </cell>
        </row>
        <row r="17">
          <cell r="B17" t="str">
            <v>Chilliwack</v>
          </cell>
        </row>
        <row r="18">
          <cell r="B18" t="str">
            <v>Comox</v>
          </cell>
        </row>
        <row r="19">
          <cell r="B19" t="str">
            <v>Courtenay</v>
          </cell>
        </row>
        <row r="20">
          <cell r="B20" t="str">
            <v>Cranbrook</v>
          </cell>
        </row>
        <row r="21">
          <cell r="B21" t="str">
            <v>Crescent Valley</v>
          </cell>
        </row>
        <row r="22">
          <cell r="B22" t="str">
            <v>Crofton</v>
          </cell>
        </row>
        <row r="23">
          <cell r="B23" t="str">
            <v>Dawson Creek</v>
          </cell>
        </row>
        <row r="24">
          <cell r="B24" t="str">
            <v>Dease Lake</v>
          </cell>
        </row>
        <row r="25">
          <cell r="B25" t="str">
            <v>io Dog Creek</v>
          </cell>
        </row>
        <row r="26">
          <cell r="B26" t="str">
            <v>Duncan</v>
          </cell>
        </row>
        <row r="27">
          <cell r="B27" t="str">
            <v>Elko</v>
          </cell>
        </row>
        <row r="28">
          <cell r="B28" t="str">
            <v>Fernie</v>
          </cell>
        </row>
        <row r="29">
          <cell r="B29" t="str">
            <v>Fort Nelson</v>
          </cell>
        </row>
        <row r="30">
          <cell r="B30" t="str">
            <v>Fort St. John</v>
          </cell>
        </row>
        <row r="31">
          <cell r="B31" t="str">
            <v>Glacier</v>
          </cell>
        </row>
        <row r="32">
          <cell r="B32" t="str">
            <v>Golden</v>
          </cell>
        </row>
        <row r="33">
          <cell r="B33" t="str">
            <v>Gold River</v>
          </cell>
        </row>
        <row r="34">
          <cell r="B34" t="str">
            <v>Grand Forks</v>
          </cell>
        </row>
        <row r="35">
          <cell r="B35" t="str">
            <v>Greenwood</v>
          </cell>
        </row>
        <row r="36">
          <cell r="B36" t="str">
            <v>Hope</v>
          </cell>
        </row>
        <row r="37">
          <cell r="B37" t="str">
            <v>Jordan River</v>
          </cell>
        </row>
        <row r="38">
          <cell r="B38" t="str">
            <v>Kamloops</v>
          </cell>
        </row>
        <row r="39">
          <cell r="B39" t="str">
            <v>Kaslo</v>
          </cell>
        </row>
        <row r="40">
          <cell r="B40" t="str">
            <v>Kelowna</v>
          </cell>
        </row>
        <row r="41">
          <cell r="B41" t="str">
            <v>Kimberley</v>
          </cell>
        </row>
        <row r="42">
          <cell r="B42" t="str">
            <v>Kitimat Plant</v>
          </cell>
        </row>
        <row r="43">
          <cell r="B43" t="str">
            <v>Kitimat Townsite</v>
          </cell>
        </row>
        <row r="44">
          <cell r="B44" t="str">
            <v>Ladysmith</v>
          </cell>
        </row>
        <row r="45">
          <cell r="B45" t="str">
            <v>Langford</v>
          </cell>
        </row>
        <row r="46">
          <cell r="B46" t="str">
            <v>ld Lillooet</v>
          </cell>
        </row>
        <row r="47">
          <cell r="B47" t="str">
            <v>Lytton</v>
          </cell>
        </row>
        <row r="48">
          <cell r="B48" t="str">
            <v>Mackenzie</v>
          </cell>
        </row>
        <row r="49">
          <cell r="B49" t="str">
            <v>Masset</v>
          </cell>
        </row>
        <row r="50">
          <cell r="B50" t="str">
            <v>McBride</v>
          </cell>
        </row>
        <row r="51">
          <cell r="B51" t="str">
            <v>da McLeod Lake</v>
          </cell>
        </row>
        <row r="52">
          <cell r="B52" t="str">
            <v>Merritt</v>
          </cell>
        </row>
        <row r="53">
          <cell r="B53" t="str">
            <v>Mission City</v>
          </cell>
        </row>
        <row r="54">
          <cell r="B54" t="str">
            <v>Montrose</v>
          </cell>
        </row>
        <row r="55">
          <cell r="B55" t="str">
            <v>Nakusp</v>
          </cell>
        </row>
        <row r="56">
          <cell r="B56" t="str">
            <v>Nanaimo</v>
          </cell>
        </row>
        <row r="57">
          <cell r="B57" t="str">
            <v>Nelson</v>
          </cell>
        </row>
        <row r="58">
          <cell r="B58" t="str">
            <v>Ocean Falls</v>
          </cell>
        </row>
        <row r="59">
          <cell r="B59" t="str">
            <v>Osoyoos</v>
          </cell>
        </row>
        <row r="60">
          <cell r="B60" t="str">
            <v>Parksville</v>
          </cell>
        </row>
        <row r="61">
          <cell r="B61" t="str">
            <v>lu Penticton</v>
          </cell>
        </row>
        <row r="62">
          <cell r="B62" t="str">
            <v>Port Alberni</v>
          </cell>
        </row>
        <row r="63">
          <cell r="B63" t="str">
            <v>Port Alice</v>
          </cell>
        </row>
        <row r="64">
          <cell r="B64" t="str">
            <v>Port Hardy</v>
          </cell>
        </row>
        <row r="65">
          <cell r="B65" t="str">
            <v>Port McNeill</v>
          </cell>
        </row>
        <row r="66">
          <cell r="B66" t="str">
            <v>Port Renfrew</v>
          </cell>
        </row>
        <row r="67">
          <cell r="B67" t="str">
            <v>Powell River</v>
          </cell>
        </row>
        <row r="68">
          <cell r="B68" t="str">
            <v>Prince George</v>
          </cell>
        </row>
        <row r="69">
          <cell r="B69" t="str">
            <v>Prince Rupert</v>
          </cell>
        </row>
        <row r="70">
          <cell r="B70" t="str">
            <v>Princeton</v>
          </cell>
        </row>
        <row r="71">
          <cell r="B71" t="str">
            <v>Qualicum Beach</v>
          </cell>
        </row>
        <row r="72">
          <cell r="B72" t="str">
            <v>Queen Charlotte City</v>
          </cell>
        </row>
        <row r="73">
          <cell r="B73" t="str">
            <v>Quesnel</v>
          </cell>
        </row>
        <row r="74">
          <cell r="B74" t="str">
            <v>Revelstoke</v>
          </cell>
        </row>
        <row r="75">
          <cell r="B75" t="str">
            <v>Salmon Arm</v>
          </cell>
        </row>
        <row r="76">
          <cell r="B76" t="str">
            <v>Sandspit</v>
          </cell>
        </row>
        <row r="77">
          <cell r="B77" t="str">
            <v>Sechelt</v>
          </cell>
        </row>
        <row r="78">
          <cell r="B78" t="str">
            <v>Sidney</v>
          </cell>
        </row>
        <row r="79">
          <cell r="B79" t="str">
            <v>Smithers</v>
          </cell>
        </row>
        <row r="80">
          <cell r="B80" t="str">
            <v>Smith River</v>
          </cell>
        </row>
        <row r="81">
          <cell r="B81" t="str">
            <v>Sooke</v>
          </cell>
        </row>
        <row r="82">
          <cell r="B82" t="str">
            <v>Squamish</v>
          </cell>
        </row>
        <row r="83">
          <cell r="B83" t="str">
            <v>Stewart</v>
          </cell>
        </row>
        <row r="84">
          <cell r="B84" t="str">
            <v>Tahsis</v>
          </cell>
        </row>
        <row r="85">
          <cell r="B85" t="str">
            <v>Taylor</v>
          </cell>
        </row>
        <row r="86">
          <cell r="B86" t="str">
            <v>Terrace</v>
          </cell>
        </row>
        <row r="87">
          <cell r="B87" t="str">
            <v>Tofino</v>
          </cell>
        </row>
        <row r="88">
          <cell r="B88" t="str">
            <v>Trail</v>
          </cell>
        </row>
        <row r="89">
          <cell r="B89" t="str">
            <v>Ucluelet</v>
          </cell>
        </row>
        <row r="90">
          <cell r="B90" t="str">
            <v>Burnaby (Simon</v>
          </cell>
        </row>
        <row r="91">
          <cell r="B91" t="str">
            <v>Cloverdale</v>
          </cell>
        </row>
        <row r="92">
          <cell r="B92" t="str">
            <v>Haney</v>
          </cell>
        </row>
        <row r="93">
          <cell r="B93" t="str">
            <v>Ladner</v>
          </cell>
        </row>
        <row r="94">
          <cell r="B94" t="str">
            <v>Langley</v>
          </cell>
        </row>
        <row r="95">
          <cell r="B95" t="str">
            <v>New Westminster</v>
          </cell>
        </row>
        <row r="96">
          <cell r="B96" t="str">
            <v>North Vancouver</v>
          </cell>
        </row>
        <row r="97">
          <cell r="B97" t="str">
            <v>Richmond</v>
          </cell>
        </row>
        <row r="98">
          <cell r="B98" t="str">
            <v>io Surrey(88Ave&amp;156</v>
          </cell>
        </row>
        <row r="99">
          <cell r="B99" t="str">
            <v>Vancouver</v>
          </cell>
        </row>
        <row r="100">
          <cell r="B100" t="str">
            <v>Vancouver</v>
          </cell>
        </row>
        <row r="101">
          <cell r="B101" t="str">
            <v>West Vancouver</v>
          </cell>
        </row>
        <row r="102">
          <cell r="B102" t="str">
            <v>Vernon</v>
          </cell>
        </row>
        <row r="103">
          <cell r="B103" t="str">
            <v>Victoria</v>
          </cell>
        </row>
        <row r="104">
          <cell r="B104" t="str">
            <v>Victoria</v>
          </cell>
        </row>
        <row r="105">
          <cell r="B105" t="str">
            <v>Victoria</v>
          </cell>
        </row>
        <row r="106">
          <cell r="B106" t="str">
            <v>Whistler</v>
          </cell>
        </row>
        <row r="107">
          <cell r="B107" t="str">
            <v>White Rock</v>
          </cell>
        </row>
        <row r="108">
          <cell r="B108" t="str">
            <v>Williams Lake</v>
          </cell>
        </row>
        <row r="109">
          <cell r="B109" t="str">
            <v>Youbou</v>
          </cell>
        </row>
        <row r="110">
          <cell r="B110" t="str">
            <v>Athabasca</v>
          </cell>
        </row>
        <row r="111">
          <cell r="B111" t="str">
            <v>Banff</v>
          </cell>
        </row>
        <row r="112">
          <cell r="B112" t="str">
            <v>Barrhead</v>
          </cell>
        </row>
        <row r="113">
          <cell r="B113" t="str">
            <v>Beaverlodge</v>
          </cell>
        </row>
        <row r="114">
          <cell r="B114" t="str">
            <v>Brooks</v>
          </cell>
        </row>
        <row r="115">
          <cell r="B115" t="str">
            <v>Calgary</v>
          </cell>
        </row>
        <row r="116">
          <cell r="B116" t="str">
            <v>Campsie</v>
          </cell>
        </row>
        <row r="117">
          <cell r="B117" t="str">
            <v>Camrose</v>
          </cell>
        </row>
        <row r="118">
          <cell r="B118" t="str">
            <v>Canmore</v>
          </cell>
        </row>
        <row r="119">
          <cell r="B119" t="str">
            <v>Cardston</v>
          </cell>
        </row>
        <row r="120">
          <cell r="B120" t="str">
            <v>Claresholm</v>
          </cell>
        </row>
        <row r="121">
          <cell r="B121" t="str">
            <v>Cold Lake</v>
          </cell>
        </row>
        <row r="122">
          <cell r="B122" t="str">
            <v>Coleman</v>
          </cell>
        </row>
        <row r="123">
          <cell r="B123" t="str">
            <v>Coronation</v>
          </cell>
        </row>
        <row r="124">
          <cell r="B124" t="str">
            <v>Cowley</v>
          </cell>
        </row>
        <row r="125">
          <cell r="B125" t="str">
            <v>Drumheller</v>
          </cell>
        </row>
        <row r="126">
          <cell r="B126" t="str">
            <v>Edmonton</v>
          </cell>
        </row>
        <row r="127">
          <cell r="B127" t="str">
            <v>iv Edson</v>
          </cell>
        </row>
        <row r="128">
          <cell r="B128" t="str">
            <v>Embarras Portage</v>
          </cell>
        </row>
        <row r="129">
          <cell r="B129" t="str">
            <v>Fairview</v>
          </cell>
        </row>
        <row r="130">
          <cell r="B130" t="str">
            <v>Fort MacLeod</v>
          </cell>
        </row>
        <row r="131">
          <cell r="B131" t="str">
            <v>Fort McMurray</v>
          </cell>
        </row>
        <row r="132">
          <cell r="B132" t="str">
            <v>Fort Saskatchewan</v>
          </cell>
        </row>
        <row r="133">
          <cell r="B133" t="str">
            <v>Fort Vermilion</v>
          </cell>
        </row>
        <row r="134">
          <cell r="B134" t="str">
            <v>Grande Prairie</v>
          </cell>
        </row>
        <row r="135">
          <cell r="B135" t="str">
            <v>Habay</v>
          </cell>
        </row>
        <row r="136">
          <cell r="B136" t="str">
            <v>Hardisty</v>
          </cell>
        </row>
        <row r="137">
          <cell r="B137" t="str">
            <v>High River</v>
          </cell>
        </row>
        <row r="138">
          <cell r="B138" t="str">
            <v>Hinton</v>
          </cell>
        </row>
        <row r="139">
          <cell r="B139" t="str">
            <v>Jasper</v>
          </cell>
        </row>
        <row r="140">
          <cell r="B140" t="str">
            <v>Keg River</v>
          </cell>
        </row>
        <row r="141">
          <cell r="B141" t="str">
            <v>Lac La Biche</v>
          </cell>
        </row>
        <row r="142">
          <cell r="B142" t="str">
            <v>Lacombe</v>
          </cell>
        </row>
        <row r="143">
          <cell r="B143" t="str">
            <v>Lethbridge</v>
          </cell>
        </row>
        <row r="144">
          <cell r="B144" t="str">
            <v>Manning</v>
          </cell>
        </row>
        <row r="145">
          <cell r="B145" t="str">
            <v>Medicine Hat</v>
          </cell>
        </row>
        <row r="146">
          <cell r="B146" t="str">
            <v>Peace River</v>
          </cell>
        </row>
        <row r="147">
          <cell r="B147" t="str">
            <v>Pincher Creek</v>
          </cell>
        </row>
        <row r="148">
          <cell r="B148" t="str">
            <v>Ranfurly</v>
          </cell>
        </row>
        <row r="149">
          <cell r="B149" t="str">
            <v>ld Red Deer</v>
          </cell>
        </row>
        <row r="150">
          <cell r="B150" t="str">
            <v>Rocky Mountain House</v>
          </cell>
        </row>
        <row r="151">
          <cell r="B151" t="str">
            <v>Slave Lake</v>
          </cell>
        </row>
        <row r="152">
          <cell r="B152" t="str">
            <v>Stettler</v>
          </cell>
        </row>
        <row r="153">
          <cell r="B153" t="str">
            <v>Stony Plain</v>
          </cell>
        </row>
        <row r="154">
          <cell r="B154" t="str">
            <v>da Suffield</v>
          </cell>
        </row>
        <row r="155">
          <cell r="B155" t="str">
            <v>Taber</v>
          </cell>
        </row>
        <row r="156">
          <cell r="B156" t="str">
            <v>Turner Valley</v>
          </cell>
        </row>
        <row r="157">
          <cell r="B157" t="str">
            <v>Valleyview</v>
          </cell>
        </row>
        <row r="158">
          <cell r="B158" t="str">
            <v>Vegreville</v>
          </cell>
        </row>
        <row r="159">
          <cell r="B159" t="str">
            <v>Vermilion</v>
          </cell>
        </row>
        <row r="160">
          <cell r="B160" t="str">
            <v>Wagner</v>
          </cell>
        </row>
        <row r="161">
          <cell r="B161" t="str">
            <v>Wainwright</v>
          </cell>
        </row>
        <row r="162">
          <cell r="B162" t="str">
            <v>Wetaskiwin</v>
          </cell>
        </row>
        <row r="163">
          <cell r="B163" t="str">
            <v>Whitecourt</v>
          </cell>
        </row>
        <row r="164">
          <cell r="B164" t="str">
            <v>Wimborne</v>
          </cell>
        </row>
        <row r="165">
          <cell r="B165" t="str">
            <v>Assiniboia</v>
          </cell>
        </row>
        <row r="166">
          <cell r="B166" t="str">
            <v>Battrum</v>
          </cell>
        </row>
        <row r="167">
          <cell r="B167" t="str">
            <v>Biggar</v>
          </cell>
        </row>
        <row r="168">
          <cell r="B168" t="str">
            <v>Broadview</v>
          </cell>
        </row>
        <row r="169">
          <cell r="B169" t="str">
            <v>Dafoe</v>
          </cell>
        </row>
        <row r="170">
          <cell r="B170" t="str">
            <v>Dundurn</v>
          </cell>
        </row>
        <row r="171">
          <cell r="B171" t="str">
            <v>Estevan</v>
          </cell>
        </row>
        <row r="172">
          <cell r="B172" t="str">
            <v>Hudson Bay</v>
          </cell>
        </row>
        <row r="173">
          <cell r="B173" t="str">
            <v>Humboldt</v>
          </cell>
        </row>
        <row r="174">
          <cell r="B174" t="str">
            <v>Island Falls</v>
          </cell>
        </row>
        <row r="175">
          <cell r="B175" t="str">
            <v>Kamsack</v>
          </cell>
        </row>
        <row r="176">
          <cell r="B176" t="str">
            <v>Kindersley</v>
          </cell>
        </row>
        <row r="177">
          <cell r="B177" t="str">
            <v>Lloydminster</v>
          </cell>
        </row>
        <row r="178">
          <cell r="B178" t="str">
            <v>Maple Creek</v>
          </cell>
        </row>
        <row r="179">
          <cell r="B179" t="str">
            <v>Meadow Lake</v>
          </cell>
        </row>
        <row r="180">
          <cell r="B180" t="str">
            <v>Melfort</v>
          </cell>
        </row>
        <row r="181">
          <cell r="B181" t="str">
            <v>Melville</v>
          </cell>
        </row>
        <row r="182">
          <cell r="B182" t="str">
            <v>Moose Jaw</v>
          </cell>
        </row>
        <row r="183">
          <cell r="B183" t="str">
            <v>Nipawin</v>
          </cell>
        </row>
        <row r="184">
          <cell r="B184" t="str">
            <v>North Battleford</v>
          </cell>
        </row>
        <row r="185">
          <cell r="B185" t="str">
            <v>Prince Albert</v>
          </cell>
        </row>
        <row r="186">
          <cell r="B186" t="str">
            <v>Qu'Appelle</v>
          </cell>
        </row>
        <row r="187">
          <cell r="B187" t="str">
            <v>Regina</v>
          </cell>
        </row>
        <row r="188">
          <cell r="B188" t="str">
            <v>Rosetown</v>
          </cell>
        </row>
        <row r="189">
          <cell r="B189" t="str">
            <v>Saskatoon</v>
          </cell>
        </row>
        <row r="190">
          <cell r="B190" t="str">
            <v>Scott</v>
          </cell>
        </row>
        <row r="191">
          <cell r="B191" t="str">
            <v>Strasbourg</v>
          </cell>
        </row>
        <row r="192">
          <cell r="B192" t="str">
            <v>Swift Current</v>
          </cell>
        </row>
        <row r="193">
          <cell r="B193" t="str">
            <v>Uranium City</v>
          </cell>
        </row>
        <row r="194">
          <cell r="B194" t="str">
            <v>Weyburn</v>
          </cell>
        </row>
        <row r="195">
          <cell r="B195" t="str">
            <v>Yorkton</v>
          </cell>
        </row>
        <row r="196">
          <cell r="B196" t="str">
            <v>Beausejour</v>
          </cell>
        </row>
        <row r="197">
          <cell r="B197" t="str">
            <v>Boissevain</v>
          </cell>
        </row>
        <row r="198">
          <cell r="B198" t="str">
            <v>Brandon</v>
          </cell>
        </row>
        <row r="199">
          <cell r="B199" t="str">
            <v>Churchill</v>
          </cell>
        </row>
        <row r="200">
          <cell r="B200" t="str">
            <v>Dauphin</v>
          </cell>
        </row>
        <row r="201">
          <cell r="B201" t="str">
            <v>Flin Flon</v>
          </cell>
        </row>
        <row r="202">
          <cell r="B202" t="str">
            <v>Gimli</v>
          </cell>
        </row>
        <row r="203">
          <cell r="B203" t="str">
            <v>ld Island Lake</v>
          </cell>
        </row>
        <row r="204">
          <cell r="B204" t="str">
            <v>Lac du Bonnet</v>
          </cell>
        </row>
        <row r="205">
          <cell r="B205" t="str">
            <v>Lynn Lake</v>
          </cell>
        </row>
        <row r="206">
          <cell r="B206" t="str">
            <v>Morden</v>
          </cell>
        </row>
        <row r="207">
          <cell r="B207" t="str">
            <v>Neepawa</v>
          </cell>
        </row>
        <row r="208">
          <cell r="B208" t="str">
            <v>da Pine Falls</v>
          </cell>
        </row>
        <row r="209">
          <cell r="B209" t="str">
            <v>Portage la Prairie</v>
          </cell>
        </row>
        <row r="210">
          <cell r="B210" t="str">
            <v>Rivers</v>
          </cell>
        </row>
        <row r="211">
          <cell r="B211" t="str">
            <v>Sandilands</v>
          </cell>
        </row>
        <row r="212">
          <cell r="B212" t="str">
            <v>Selkirk</v>
          </cell>
        </row>
        <row r="213">
          <cell r="B213" t="str">
            <v>Split Lake</v>
          </cell>
        </row>
        <row r="214">
          <cell r="B214" t="str">
            <v>Steinbach</v>
          </cell>
        </row>
        <row r="215">
          <cell r="B215" t="str">
            <v>Swan River</v>
          </cell>
        </row>
        <row r="216">
          <cell r="B216" t="str">
            <v>The Pas</v>
          </cell>
        </row>
        <row r="217">
          <cell r="B217" t="str">
            <v>Thompson</v>
          </cell>
        </row>
        <row r="218">
          <cell r="B218" t="str">
            <v>Virden</v>
          </cell>
        </row>
        <row r="219">
          <cell r="B219" t="str">
            <v>Winnipeg</v>
          </cell>
        </row>
        <row r="220">
          <cell r="B220" t="str">
            <v>Ailsa Craig</v>
          </cell>
        </row>
        <row r="221">
          <cell r="B221" t="str">
            <v>Ajax</v>
          </cell>
        </row>
        <row r="222">
          <cell r="B222" t="str">
            <v>Alexandria</v>
          </cell>
        </row>
        <row r="223">
          <cell r="B223" t="str">
            <v>Alliston</v>
          </cell>
        </row>
        <row r="224">
          <cell r="B224" t="str">
            <v>Almonte</v>
          </cell>
        </row>
        <row r="225">
          <cell r="B225" t="str">
            <v>Armstrong</v>
          </cell>
        </row>
        <row r="226">
          <cell r="B226" t="str">
            <v>Arnprior</v>
          </cell>
        </row>
        <row r="227">
          <cell r="B227" t="str">
            <v>Atikokan</v>
          </cell>
        </row>
        <row r="228">
          <cell r="B228" t="str">
            <v>Attawapiskat</v>
          </cell>
        </row>
        <row r="229">
          <cell r="B229" t="str">
            <v>Aurora</v>
          </cell>
        </row>
        <row r="230">
          <cell r="B230" t="str">
            <v>Bancroft</v>
          </cell>
        </row>
        <row r="231">
          <cell r="B231" t="str">
            <v>Barrie</v>
          </cell>
        </row>
        <row r="232">
          <cell r="B232" t="str">
            <v>Barriefield</v>
          </cell>
        </row>
        <row r="233">
          <cell r="B233" t="str">
            <v>Beaverton</v>
          </cell>
        </row>
        <row r="234">
          <cell r="B234" t="str">
            <v>Belleville</v>
          </cell>
        </row>
        <row r="235">
          <cell r="B235" t="str">
            <v>Belmont</v>
          </cell>
        </row>
        <row r="236">
          <cell r="B236" t="str">
            <v>vi Borden (CFB)</v>
          </cell>
        </row>
        <row r="237">
          <cell r="B237" t="str">
            <v>Bracebridge</v>
          </cell>
        </row>
        <row r="238">
          <cell r="B238" t="str">
            <v>Bradford</v>
          </cell>
        </row>
        <row r="239">
          <cell r="B239" t="str">
            <v>Brampton</v>
          </cell>
        </row>
        <row r="240">
          <cell r="B240" t="str">
            <v>Brantford</v>
          </cell>
        </row>
        <row r="241">
          <cell r="B241" t="str">
            <v>Brighton</v>
          </cell>
        </row>
        <row r="242">
          <cell r="B242" t="str">
            <v>Brockville</v>
          </cell>
        </row>
        <row r="243">
          <cell r="B243" t="str">
            <v>Burk's Falls</v>
          </cell>
        </row>
        <row r="244">
          <cell r="B244" t="str">
            <v>Burlington</v>
          </cell>
        </row>
        <row r="245">
          <cell r="B245" t="str">
            <v>Cambridge</v>
          </cell>
        </row>
        <row r="246">
          <cell r="B246" t="str">
            <v>Campbellford</v>
          </cell>
        </row>
        <row r="247">
          <cell r="B247" t="str">
            <v>Cannington</v>
          </cell>
        </row>
        <row r="248">
          <cell r="B248" t="str">
            <v>Carleton Place</v>
          </cell>
        </row>
        <row r="249">
          <cell r="B249" t="str">
            <v>Cavan</v>
          </cell>
        </row>
        <row r="250">
          <cell r="B250" t="str">
            <v>Centralia</v>
          </cell>
        </row>
        <row r="251">
          <cell r="B251" t="str">
            <v>Chapleau</v>
          </cell>
        </row>
        <row r="252">
          <cell r="B252" t="str">
            <v>Chatham</v>
          </cell>
        </row>
        <row r="253">
          <cell r="B253" t="str">
            <v>Chesley</v>
          </cell>
        </row>
        <row r="254">
          <cell r="B254" t="str">
            <v>Clinton</v>
          </cell>
        </row>
        <row r="255">
          <cell r="B255" t="str">
            <v>Coboconk</v>
          </cell>
        </row>
        <row r="256">
          <cell r="B256" t="str">
            <v>Cobourg</v>
          </cell>
        </row>
        <row r="257">
          <cell r="B257" t="str">
            <v>Cochrane</v>
          </cell>
        </row>
        <row r="258">
          <cell r="B258" t="str">
            <v>ld Colborne</v>
          </cell>
        </row>
        <row r="259">
          <cell r="B259" t="str">
            <v>Collingwood</v>
          </cell>
        </row>
        <row r="260">
          <cell r="B260" t="str">
            <v>Cornwall</v>
          </cell>
        </row>
        <row r="261">
          <cell r="B261" t="str">
            <v>Corunna</v>
          </cell>
        </row>
        <row r="262">
          <cell r="B262" t="str">
            <v>Deep River</v>
          </cell>
        </row>
        <row r="263">
          <cell r="B263" t="str">
            <v>da Deseronto</v>
          </cell>
        </row>
        <row r="264">
          <cell r="B264" t="str">
            <v>Dorchester</v>
          </cell>
        </row>
        <row r="265">
          <cell r="B265" t="str">
            <v>Dorion</v>
          </cell>
        </row>
        <row r="266">
          <cell r="B266" t="str">
            <v>Dresden</v>
          </cell>
        </row>
        <row r="267">
          <cell r="B267" t="str">
            <v>Dryden</v>
          </cell>
        </row>
        <row r="268">
          <cell r="B268" t="str">
            <v>Dundalk</v>
          </cell>
        </row>
        <row r="269">
          <cell r="B269" t="str">
            <v>Dunnville</v>
          </cell>
        </row>
        <row r="270">
          <cell r="B270" t="str">
            <v>Durham</v>
          </cell>
        </row>
        <row r="271">
          <cell r="B271" t="str">
            <v>Dutton</v>
          </cell>
        </row>
        <row r="272">
          <cell r="B272" t="str">
            <v>Earlton</v>
          </cell>
        </row>
        <row r="273">
          <cell r="B273" t="str">
            <v>Edison</v>
          </cell>
        </row>
        <row r="274">
          <cell r="B274" t="str">
            <v>Elliot Lake</v>
          </cell>
        </row>
        <row r="275">
          <cell r="B275" t="str">
            <v>Elmvale</v>
          </cell>
        </row>
        <row r="276">
          <cell r="B276" t="str">
            <v>Embro</v>
          </cell>
        </row>
        <row r="277">
          <cell r="B277" t="str">
            <v>Englehart</v>
          </cell>
        </row>
        <row r="278">
          <cell r="B278" t="str">
            <v>Espanola</v>
          </cell>
        </row>
        <row r="279">
          <cell r="B279" t="str">
            <v>Exeter</v>
          </cell>
        </row>
        <row r="280">
          <cell r="B280" t="str">
            <v>Fenelon Falls</v>
          </cell>
        </row>
        <row r="281">
          <cell r="B281" t="str">
            <v>Fergus</v>
          </cell>
        </row>
        <row r="282">
          <cell r="B282" t="str">
            <v>Forest</v>
          </cell>
        </row>
        <row r="283">
          <cell r="B283" t="str">
            <v>Fort Erie</v>
          </cell>
        </row>
        <row r="284">
          <cell r="B284" t="str">
            <v>Fort Erie (Ridgeway)</v>
          </cell>
        </row>
        <row r="285">
          <cell r="B285" t="str">
            <v>Fort Frances</v>
          </cell>
        </row>
        <row r="286">
          <cell r="B286" t="str">
            <v>Gananoque</v>
          </cell>
        </row>
        <row r="287">
          <cell r="B287" t="str">
            <v>Geraldton</v>
          </cell>
        </row>
        <row r="288">
          <cell r="B288" t="str">
            <v>Glencoe</v>
          </cell>
        </row>
        <row r="289">
          <cell r="B289" t="str">
            <v>Goderich</v>
          </cell>
        </row>
        <row r="290">
          <cell r="B290" t="str">
            <v>Gore Bay</v>
          </cell>
        </row>
        <row r="291">
          <cell r="B291" t="str">
            <v>Graham</v>
          </cell>
        </row>
        <row r="292">
          <cell r="B292" t="str">
            <v>Gravenhurst</v>
          </cell>
        </row>
        <row r="293">
          <cell r="B293" t="str">
            <v>Grimsby</v>
          </cell>
        </row>
        <row r="294">
          <cell r="B294" t="str">
            <v>Guelph</v>
          </cell>
        </row>
        <row r="295">
          <cell r="B295" t="str">
            <v>Guthrie</v>
          </cell>
        </row>
        <row r="296">
          <cell r="B296" t="str">
            <v>Haileybury</v>
          </cell>
        </row>
        <row r="297">
          <cell r="B297" t="str">
            <v>Haldimand</v>
          </cell>
        </row>
        <row r="298">
          <cell r="B298" t="str">
            <v>Haldimand</v>
          </cell>
        </row>
        <row r="299">
          <cell r="B299" t="str">
            <v>Haliburton</v>
          </cell>
        </row>
        <row r="300">
          <cell r="B300" t="str">
            <v>Halton Hills</v>
          </cell>
        </row>
        <row r="301">
          <cell r="B301" t="str">
            <v>Hamilton</v>
          </cell>
        </row>
        <row r="302">
          <cell r="B302" t="str">
            <v>Hanover</v>
          </cell>
        </row>
        <row r="303">
          <cell r="B303" t="str">
            <v>Hastings</v>
          </cell>
        </row>
        <row r="304">
          <cell r="B304" t="str">
            <v>Hawkesbury</v>
          </cell>
        </row>
        <row r="305">
          <cell r="B305" t="str">
            <v>Hearst</v>
          </cell>
        </row>
        <row r="306">
          <cell r="B306" t="str">
            <v>Honey</v>
          </cell>
        </row>
        <row r="307">
          <cell r="B307" t="str">
            <v>Hornepayne</v>
          </cell>
        </row>
        <row r="308">
          <cell r="B308" t="str">
            <v>Huntsville</v>
          </cell>
        </row>
        <row r="309">
          <cell r="B309" t="str">
            <v>Ingersoll</v>
          </cell>
        </row>
        <row r="310">
          <cell r="B310" t="str">
            <v>Iroquois Falls</v>
          </cell>
        </row>
        <row r="311">
          <cell r="B311" t="str">
            <v>Jellicoe</v>
          </cell>
        </row>
        <row r="312">
          <cell r="B312" t="str">
            <v>Kapuskasing</v>
          </cell>
        </row>
        <row r="313">
          <cell r="B313" t="str">
            <v>Kemptville</v>
          </cell>
        </row>
        <row r="314">
          <cell r="B314" t="str">
            <v>Kenora</v>
          </cell>
        </row>
        <row r="315">
          <cell r="B315" t="str">
            <v>Killaloe</v>
          </cell>
        </row>
        <row r="316">
          <cell r="B316" t="str">
            <v>Kincardine</v>
          </cell>
        </row>
        <row r="317">
          <cell r="B317" t="str">
            <v>Kingston</v>
          </cell>
        </row>
        <row r="318">
          <cell r="B318" t="str">
            <v>Kinmount</v>
          </cell>
        </row>
        <row r="319">
          <cell r="B319" t="str">
            <v>Kirkland Lake</v>
          </cell>
        </row>
        <row r="320">
          <cell r="B320" t="str">
            <v>Kitchener</v>
          </cell>
        </row>
        <row r="321">
          <cell r="B321" t="str">
            <v>n</v>
          </cell>
        </row>
        <row r="322">
          <cell r="B322" t="str">
            <v>Lakefield</v>
          </cell>
        </row>
        <row r="323">
          <cell r="B323" t="str">
            <v>Lansdowne House</v>
          </cell>
        </row>
        <row r="324">
          <cell r="B324" t="str">
            <v>Leamington</v>
          </cell>
        </row>
        <row r="325">
          <cell r="B325" t="str">
            <v>Lindsay</v>
          </cell>
        </row>
        <row r="326">
          <cell r="B326" t="str">
            <v>Lion's Head</v>
          </cell>
        </row>
        <row r="327">
          <cell r="B327" t="str">
            <v>Listowel</v>
          </cell>
        </row>
        <row r="328">
          <cell r="B328" t="str">
            <v>London</v>
          </cell>
        </row>
        <row r="329">
          <cell r="B329" t="str">
            <v>Lucan</v>
          </cell>
        </row>
        <row r="330">
          <cell r="B330" t="str">
            <v>Maitland</v>
          </cell>
        </row>
        <row r="331">
          <cell r="B331" t="str">
            <v>Markdale</v>
          </cell>
        </row>
        <row r="332">
          <cell r="B332" t="str">
            <v>Markham</v>
          </cell>
        </row>
        <row r="333">
          <cell r="B333" t="str">
            <v>Martin</v>
          </cell>
        </row>
        <row r="334">
          <cell r="B334" t="str">
            <v>Matheson</v>
          </cell>
        </row>
        <row r="335">
          <cell r="B335" t="str">
            <v>Mattawa</v>
          </cell>
        </row>
        <row r="336">
          <cell r="B336" t="str">
            <v>Midland</v>
          </cell>
        </row>
        <row r="337">
          <cell r="B337" t="str">
            <v>Milton</v>
          </cell>
        </row>
        <row r="338">
          <cell r="B338" t="str">
            <v>Milverton</v>
          </cell>
        </row>
        <row r="339">
          <cell r="B339" t="str">
            <v>Minden</v>
          </cell>
        </row>
        <row r="340">
          <cell r="B340" t="str">
            <v>Mississauga</v>
          </cell>
        </row>
        <row r="341">
          <cell r="B341" t="str">
            <v>Mississauga (Lester B.</v>
          </cell>
        </row>
        <row r="342">
          <cell r="B342" t="str">
            <v>Mississauga</v>
          </cell>
        </row>
        <row r="343">
          <cell r="B343" t="str">
            <v>Mitchell</v>
          </cell>
        </row>
        <row r="344">
          <cell r="B344" t="str">
            <v>Moosonee</v>
          </cell>
        </row>
        <row r="345">
          <cell r="B345" t="str">
            <v>Morrisburg</v>
          </cell>
        </row>
        <row r="346">
          <cell r="B346" t="str">
            <v>Mount Forest</v>
          </cell>
        </row>
        <row r="347">
          <cell r="B347" t="str">
            <v>Nakina</v>
          </cell>
        </row>
        <row r="348">
          <cell r="B348" t="str">
            <v>Nanticoke</v>
          </cell>
        </row>
        <row r="349">
          <cell r="B349" t="str">
            <v>Nanticoke (Port Dover)</v>
          </cell>
        </row>
        <row r="350">
          <cell r="B350" t="str">
            <v>Napanee</v>
          </cell>
        </row>
        <row r="351">
          <cell r="B351" t="str">
            <v>Newcastle</v>
          </cell>
        </row>
        <row r="352">
          <cell r="B352" t="str">
            <v>New Liskeard</v>
          </cell>
        </row>
        <row r="353">
          <cell r="B353" t="str">
            <v>Newmarket</v>
          </cell>
        </row>
        <row r="354">
          <cell r="B354" t="str">
            <v>Niagara Falls</v>
          </cell>
        </row>
        <row r="355">
          <cell r="B355" t="str">
            <v>North Bay</v>
          </cell>
        </row>
        <row r="356">
          <cell r="B356" t="str">
            <v>Norwood</v>
          </cell>
        </row>
        <row r="357">
          <cell r="B357" t="str">
            <v>Oakville</v>
          </cell>
        </row>
        <row r="358">
          <cell r="B358" t="str">
            <v>Orangeville</v>
          </cell>
        </row>
        <row r="359">
          <cell r="B359" t="str">
            <v>Orillia</v>
          </cell>
        </row>
        <row r="360">
          <cell r="B360" t="str">
            <v>Oshawa</v>
          </cell>
        </row>
        <row r="361">
          <cell r="B361" t="str">
            <v>Ottawa (Barrhaven)</v>
          </cell>
        </row>
        <row r="362">
          <cell r="B362" t="str">
            <v>Ottawa (City Hall)</v>
          </cell>
        </row>
        <row r="363">
          <cell r="B363" t="str">
            <v>Ottawa (Kanata)</v>
          </cell>
        </row>
        <row r="364">
          <cell r="B364" t="str">
            <v>Ottawa (M-C Int'l</v>
          </cell>
        </row>
        <row r="365">
          <cell r="B365" t="str">
            <v>da Ottawa (Orléans)</v>
          </cell>
        </row>
        <row r="366">
          <cell r="B366" t="str">
            <v>Owen Sound</v>
          </cell>
        </row>
        <row r="367">
          <cell r="B367" t="str">
            <v>Pagwa River</v>
          </cell>
        </row>
        <row r="368">
          <cell r="B368" t="str">
            <v>Paris</v>
          </cell>
        </row>
        <row r="369">
          <cell r="B369" t="str">
            <v>Parkhill</v>
          </cell>
        </row>
        <row r="370">
          <cell r="B370" t="str">
            <v>Parry Sound</v>
          </cell>
        </row>
        <row r="371">
          <cell r="B371" t="str">
            <v>Pelham (Fonthill)</v>
          </cell>
        </row>
        <row r="372">
          <cell r="B372" t="str">
            <v>Pembroke</v>
          </cell>
        </row>
        <row r="373">
          <cell r="B373" t="str">
            <v>Penetanguishene</v>
          </cell>
        </row>
        <row r="374">
          <cell r="B374" t="str">
            <v>Perth</v>
          </cell>
        </row>
        <row r="375">
          <cell r="B375" t="str">
            <v>Petawawa</v>
          </cell>
        </row>
        <row r="376">
          <cell r="B376" t="str">
            <v>Peterborough</v>
          </cell>
        </row>
        <row r="377">
          <cell r="B377" t="str">
            <v>Petrolia</v>
          </cell>
        </row>
        <row r="378">
          <cell r="B378" t="str">
            <v>Pickering</v>
          </cell>
        </row>
        <row r="379">
          <cell r="B379" t="str">
            <v>Picton</v>
          </cell>
        </row>
        <row r="380">
          <cell r="B380" t="str">
            <v>Plattsville</v>
          </cell>
        </row>
        <row r="381">
          <cell r="B381" t="str">
            <v>Point Alexander</v>
          </cell>
        </row>
        <row r="382">
          <cell r="B382" t="str">
            <v>Port Burwell</v>
          </cell>
        </row>
        <row r="383">
          <cell r="B383" t="str">
            <v>Port Colborne</v>
          </cell>
        </row>
        <row r="384">
          <cell r="B384" t="str">
            <v>Port Elgin</v>
          </cell>
        </row>
        <row r="385">
          <cell r="B385" t="str">
            <v>Port Hope</v>
          </cell>
        </row>
        <row r="386">
          <cell r="B386" t="str">
            <v>Port Perry</v>
          </cell>
        </row>
        <row r="387">
          <cell r="B387" t="str">
            <v>Port Stanley</v>
          </cell>
        </row>
        <row r="388">
          <cell r="B388" t="str">
            <v>Prescott</v>
          </cell>
        </row>
        <row r="389">
          <cell r="B389" t="str">
            <v>Princeton</v>
          </cell>
        </row>
        <row r="390">
          <cell r="B390" t="str">
            <v>Raith</v>
          </cell>
        </row>
        <row r="391">
          <cell r="B391" t="str">
            <v>Rayside-Balfour</v>
          </cell>
        </row>
        <row r="392">
          <cell r="B392" t="str">
            <v>Red Lake</v>
          </cell>
        </row>
        <row r="393">
          <cell r="B393" t="str">
            <v>Renfrew</v>
          </cell>
        </row>
        <row r="394">
          <cell r="B394" t="str">
            <v>Richmond Hill</v>
          </cell>
        </row>
        <row r="395">
          <cell r="B395" t="str">
            <v>Rockland</v>
          </cell>
        </row>
        <row r="396">
          <cell r="B396" t="str">
            <v>Sarnia</v>
          </cell>
        </row>
        <row r="397">
          <cell r="B397" t="str">
            <v>Sault Ste. Marie</v>
          </cell>
        </row>
        <row r="398">
          <cell r="B398" t="str">
            <v>Schreiber</v>
          </cell>
        </row>
        <row r="399">
          <cell r="B399" t="str">
            <v>Seaforth</v>
          </cell>
        </row>
        <row r="400">
          <cell r="B400" t="str">
            <v>Shelburne</v>
          </cell>
        </row>
        <row r="401">
          <cell r="B401" t="str">
            <v>Simcoe</v>
          </cell>
        </row>
        <row r="402">
          <cell r="B402" t="str">
            <v>Sioux Lookout</v>
          </cell>
        </row>
        <row r="403">
          <cell r="B403" t="str">
            <v>Smiths Falls</v>
          </cell>
        </row>
        <row r="404">
          <cell r="B404" t="str">
            <v>Smithville</v>
          </cell>
        </row>
        <row r="405">
          <cell r="B405" t="str">
            <v>Smooth Rock Falls</v>
          </cell>
        </row>
        <row r="406">
          <cell r="B406" t="str">
            <v>Southampton</v>
          </cell>
        </row>
        <row r="407">
          <cell r="B407" t="str">
            <v>South River</v>
          </cell>
        </row>
        <row r="408">
          <cell r="B408" t="str">
            <v>St. Catharines</v>
          </cell>
        </row>
        <row r="409">
          <cell r="B409" t="str">
            <v>St. Marys</v>
          </cell>
        </row>
        <row r="410">
          <cell r="B410" t="str">
            <v>St. Thomas</v>
          </cell>
        </row>
        <row r="411">
          <cell r="B411" t="str">
            <v>Stirling</v>
          </cell>
        </row>
        <row r="412">
          <cell r="B412" t="str">
            <v>Stratford</v>
          </cell>
        </row>
        <row r="413">
          <cell r="B413" t="str">
            <v>Strathroy</v>
          </cell>
        </row>
        <row r="414">
          <cell r="B414" t="str">
            <v>Sturgeon Falls</v>
          </cell>
        </row>
        <row r="415">
          <cell r="B415" t="str">
            <v>Sudbury</v>
          </cell>
        </row>
        <row r="416">
          <cell r="B416" t="str">
            <v>Sundridge</v>
          </cell>
        </row>
        <row r="417">
          <cell r="B417" t="str">
            <v>Tavistock</v>
          </cell>
        </row>
        <row r="418">
          <cell r="B418" t="str">
            <v>Temagami</v>
          </cell>
        </row>
        <row r="419">
          <cell r="B419" t="str">
            <v>Thamesford</v>
          </cell>
        </row>
        <row r="420">
          <cell r="B420" t="str">
            <v>Thedford</v>
          </cell>
        </row>
        <row r="421">
          <cell r="B421" t="str">
            <v>Vo Thunder Bay</v>
          </cell>
        </row>
        <row r="422">
          <cell r="B422" t="str">
            <v>Tillsonburg</v>
          </cell>
        </row>
        <row r="423">
          <cell r="B423" t="str">
            <v>Timmins</v>
          </cell>
        </row>
        <row r="424">
          <cell r="B424" t="str">
            <v>Timmins (Porcupine)</v>
          </cell>
        </row>
        <row r="425">
          <cell r="B425" t="str">
            <v>Etobicoke</v>
          </cell>
        </row>
        <row r="426">
          <cell r="B426" t="str">
            <v>North York</v>
          </cell>
        </row>
        <row r="427">
          <cell r="B427" t="str">
            <v>Scarborough</v>
          </cell>
        </row>
        <row r="428">
          <cell r="B428" t="str">
            <v>Toronto (City Hall)</v>
          </cell>
        </row>
        <row r="429">
          <cell r="B429" t="str">
            <v>Trenton</v>
          </cell>
        </row>
        <row r="430">
          <cell r="B430" t="str">
            <v>Trout Creek</v>
          </cell>
        </row>
        <row r="431">
          <cell r="B431" t="str">
            <v>Uxbridge</v>
          </cell>
        </row>
        <row r="432">
          <cell r="B432" t="str">
            <v>Vaughan</v>
          </cell>
        </row>
        <row r="433">
          <cell r="B433" t="str">
            <v>Vittoria</v>
          </cell>
        </row>
        <row r="434">
          <cell r="B434" t="str">
            <v>Walkerton</v>
          </cell>
        </row>
        <row r="435">
          <cell r="B435" t="str">
            <v>Wallaceburg</v>
          </cell>
        </row>
        <row r="436">
          <cell r="B436" t="str">
            <v>Waterloo</v>
          </cell>
        </row>
        <row r="437">
          <cell r="B437" t="str">
            <v>Watford</v>
          </cell>
        </row>
        <row r="438">
          <cell r="B438" t="str">
            <v>Wawa</v>
          </cell>
        </row>
        <row r="439">
          <cell r="B439" t="str">
            <v>Welland</v>
          </cell>
        </row>
        <row r="440">
          <cell r="B440" t="str">
            <v>West Lorne</v>
          </cell>
        </row>
        <row r="441">
          <cell r="B441" t="str">
            <v>Whitby</v>
          </cell>
        </row>
        <row r="442">
          <cell r="B442" t="str">
            <v>Whitby (Brooklin)</v>
          </cell>
        </row>
        <row r="443">
          <cell r="B443" t="str">
            <v>White River</v>
          </cell>
        </row>
        <row r="444">
          <cell r="B444" t="str">
            <v>Wiarton</v>
          </cell>
        </row>
        <row r="445">
          <cell r="B445" t="str">
            <v>Windsor</v>
          </cell>
        </row>
        <row r="446">
          <cell r="B446" t="str">
            <v>Wingham</v>
          </cell>
        </row>
        <row r="447">
          <cell r="B447" t="str">
            <v>Woodstock</v>
          </cell>
        </row>
        <row r="448">
          <cell r="B448" t="str">
            <v>Wyoming</v>
          </cell>
        </row>
        <row r="449">
          <cell r="B449" t="str">
            <v>Acton Vale</v>
          </cell>
        </row>
        <row r="450">
          <cell r="B450" t="str">
            <v>Alma</v>
          </cell>
        </row>
        <row r="451">
          <cell r="B451" t="str">
            <v>Amos</v>
          </cell>
        </row>
        <row r="452">
          <cell r="B452" t="str">
            <v>Asbestos</v>
          </cell>
        </row>
        <row r="453">
          <cell r="B453" t="str">
            <v>Aylmer</v>
          </cell>
        </row>
        <row r="454">
          <cell r="B454" t="str">
            <v>Baie-Comeau</v>
          </cell>
        </row>
        <row r="455">
          <cell r="B455" t="str">
            <v>Baie-Saint-Paul</v>
          </cell>
        </row>
        <row r="456">
          <cell r="B456" t="str">
            <v>Beauport</v>
          </cell>
        </row>
        <row r="457">
          <cell r="B457" t="str">
            <v>Bedford</v>
          </cell>
        </row>
        <row r="458">
          <cell r="B458" t="str">
            <v>Beloeil</v>
          </cell>
        </row>
        <row r="459">
          <cell r="B459" t="str">
            <v>Brome</v>
          </cell>
        </row>
        <row r="460">
          <cell r="B460" t="str">
            <v>Brossard</v>
          </cell>
        </row>
        <row r="461">
          <cell r="B461" t="str">
            <v>Buckingham</v>
          </cell>
        </row>
        <row r="462">
          <cell r="B462" t="str">
            <v>Campbell's Bay</v>
          </cell>
        </row>
        <row r="463">
          <cell r="B463" t="str">
            <v>Chambly</v>
          </cell>
        </row>
        <row r="464">
          <cell r="B464" t="str">
            <v>Coaticook</v>
          </cell>
        </row>
        <row r="465">
          <cell r="B465" t="str">
            <v>ld Contrecoeur</v>
          </cell>
        </row>
        <row r="466">
          <cell r="B466" t="str">
            <v>Cowansville</v>
          </cell>
        </row>
        <row r="467">
          <cell r="B467" t="str">
            <v>Deux-Montagnes</v>
          </cell>
        </row>
        <row r="468">
          <cell r="B468" t="str">
            <v>Dolbeau</v>
          </cell>
        </row>
        <row r="469">
          <cell r="B469" t="str">
            <v>Drummondville</v>
          </cell>
        </row>
        <row r="470">
          <cell r="B470" t="str">
            <v>da Farnham</v>
          </cell>
        </row>
        <row r="471">
          <cell r="B471" t="str">
            <v>Fort-Coulonge</v>
          </cell>
        </row>
        <row r="472">
          <cell r="B472" t="str">
            <v>Gagnon</v>
          </cell>
        </row>
        <row r="473">
          <cell r="B473" t="str">
            <v>Gaspé</v>
          </cell>
        </row>
        <row r="474">
          <cell r="B474" t="str">
            <v>Gatineau</v>
          </cell>
        </row>
        <row r="475">
          <cell r="B475" t="str">
            <v>Gracefield</v>
          </cell>
        </row>
        <row r="476">
          <cell r="B476" t="str">
            <v>Granby</v>
          </cell>
        </row>
        <row r="477">
          <cell r="B477" t="str">
            <v>Harrington Harbour</v>
          </cell>
        </row>
        <row r="478">
          <cell r="B478" t="str">
            <v>Havre-Saint-Pierre</v>
          </cell>
        </row>
        <row r="479">
          <cell r="B479" t="str">
            <v>Hemmingford</v>
          </cell>
        </row>
        <row r="480">
          <cell r="B480" t="str">
            <v>Hull</v>
          </cell>
        </row>
        <row r="481">
          <cell r="B481" t="str">
            <v>Iberville</v>
          </cell>
        </row>
        <row r="482">
          <cell r="B482" t="str">
            <v>Inukjuak</v>
          </cell>
        </row>
        <row r="483">
          <cell r="B483" t="str">
            <v>Joliette</v>
          </cell>
        </row>
        <row r="484">
          <cell r="B484" t="str">
            <v>Kuujjuaq</v>
          </cell>
        </row>
        <row r="485">
          <cell r="B485" t="str">
            <v>Kuujjuarapik</v>
          </cell>
        </row>
        <row r="486">
          <cell r="B486" t="str">
            <v>Lachute</v>
          </cell>
        </row>
        <row r="487">
          <cell r="B487" t="str">
            <v>Lac-Mégantic</v>
          </cell>
        </row>
        <row r="488">
          <cell r="B488" t="str">
            <v>La Malbaie</v>
          </cell>
        </row>
        <row r="489">
          <cell r="B489" t="str">
            <v>La Pocatière</v>
          </cell>
        </row>
        <row r="490">
          <cell r="B490" t="str">
            <v>La Tuque</v>
          </cell>
        </row>
        <row r="491">
          <cell r="B491" t="str">
            <v>Lennoxville</v>
          </cell>
        </row>
        <row r="492">
          <cell r="B492" t="str">
            <v>Léry</v>
          </cell>
        </row>
        <row r="493">
          <cell r="B493" t="str">
            <v>Loretteville</v>
          </cell>
        </row>
        <row r="494">
          <cell r="B494" t="str">
            <v>Louiseville</v>
          </cell>
        </row>
        <row r="495">
          <cell r="B495" t="str">
            <v>Magog</v>
          </cell>
        </row>
        <row r="496">
          <cell r="B496" t="str">
            <v>Malartic</v>
          </cell>
        </row>
        <row r="497">
          <cell r="B497" t="str">
            <v>Maniwaki</v>
          </cell>
        </row>
        <row r="498">
          <cell r="B498" t="str">
            <v>Masson</v>
          </cell>
        </row>
        <row r="499">
          <cell r="B499" t="str">
            <v>Matane</v>
          </cell>
        </row>
        <row r="500">
          <cell r="B500" t="str">
            <v>Mont-Joli</v>
          </cell>
        </row>
        <row r="501">
          <cell r="B501" t="str">
            <v>Mont-Laurier</v>
          </cell>
        </row>
        <row r="502">
          <cell r="B502" t="str">
            <v>Montmagny</v>
          </cell>
        </row>
        <row r="503">
          <cell r="B503" t="str">
            <v>Beaconsfield</v>
          </cell>
        </row>
        <row r="504">
          <cell r="B504" t="str">
            <v>Dorval</v>
          </cell>
        </row>
        <row r="505">
          <cell r="B505" t="str">
            <v>Laval</v>
          </cell>
        </row>
        <row r="506">
          <cell r="B506" t="str">
            <v>Montréal (City Hall)</v>
          </cell>
        </row>
        <row r="507">
          <cell r="B507" t="str">
            <v>Montréal-Est</v>
          </cell>
        </row>
        <row r="508">
          <cell r="B508" t="str">
            <v>Montréal-Nord</v>
          </cell>
        </row>
        <row r="509">
          <cell r="B509" t="str">
            <v>Outremont</v>
          </cell>
        </row>
        <row r="510">
          <cell r="B510" t="str">
            <v>Pierrefonds</v>
          </cell>
        </row>
        <row r="511">
          <cell r="B511" t="str">
            <v>Sainte-Anne-de-</v>
          </cell>
        </row>
        <row r="512">
          <cell r="B512" t="str">
            <v>Saint-Lambert</v>
          </cell>
        </row>
        <row r="513">
          <cell r="B513" t="str">
            <v>Saint-Laurent</v>
          </cell>
        </row>
        <row r="514">
          <cell r="B514" t="str">
            <v>Verdun</v>
          </cell>
        </row>
        <row r="515">
          <cell r="B515" t="str">
            <v>Nicolet (Gentilly)</v>
          </cell>
        </row>
        <row r="516">
          <cell r="B516" t="str">
            <v>Nitchequon</v>
          </cell>
        </row>
        <row r="517">
          <cell r="B517" t="str">
            <v>Noranda</v>
          </cell>
        </row>
        <row r="518">
          <cell r="B518" t="str">
            <v>Percé</v>
          </cell>
        </row>
        <row r="519">
          <cell r="B519" t="str">
            <v>il Pincourt</v>
          </cell>
        </row>
        <row r="520">
          <cell r="B520" t="str">
            <v>Plessisville</v>
          </cell>
        </row>
        <row r="521">
          <cell r="B521" t="str">
            <v>Port-Cartier</v>
          </cell>
        </row>
        <row r="522">
          <cell r="B522" t="str">
            <v>Puvirnituq</v>
          </cell>
        </row>
        <row r="523">
          <cell r="B523" t="str">
            <v>Ancienne-Lorette</v>
          </cell>
        </row>
        <row r="524">
          <cell r="B524" t="str">
            <v>Lévis</v>
          </cell>
        </row>
        <row r="525">
          <cell r="B525" t="str">
            <v>Québec</v>
          </cell>
        </row>
        <row r="526">
          <cell r="B526" t="str">
            <v>lu Sainte-Foy</v>
          </cell>
        </row>
        <row r="527">
          <cell r="B527" t="str">
            <v>Sillery</v>
          </cell>
        </row>
        <row r="528">
          <cell r="B528" t="str">
            <v>Richmond</v>
          </cell>
        </row>
        <row r="529">
          <cell r="B529" t="str">
            <v>Rimouski</v>
          </cell>
        </row>
        <row r="530">
          <cell r="B530" t="str">
            <v>Rivière-du-Loup</v>
          </cell>
        </row>
        <row r="531">
          <cell r="B531" t="str">
            <v>Roberval</v>
          </cell>
        </row>
        <row r="532">
          <cell r="B532" t="str">
            <v>Rock Island</v>
          </cell>
        </row>
        <row r="533">
          <cell r="B533" t="str">
            <v>Rosemère</v>
          </cell>
        </row>
        <row r="534">
          <cell r="B534" t="str">
            <v>Rouyn</v>
          </cell>
        </row>
        <row r="535">
          <cell r="B535" t="str">
            <v>Saguenay</v>
          </cell>
        </row>
        <row r="536">
          <cell r="B536" t="str">
            <v>Saguenay (Bagotville)</v>
          </cell>
        </row>
        <row r="537">
          <cell r="B537" t="str">
            <v>Saguenay (Jonquière)</v>
          </cell>
        </row>
        <row r="538">
          <cell r="B538" t="str">
            <v>Saguenay (Kénogami)</v>
          </cell>
        </row>
        <row r="539">
          <cell r="B539" t="str">
            <v>Sainte-Agathe-</v>
          </cell>
        </row>
        <row r="540">
          <cell r="B540" t="str">
            <v>Saint-Eustache</v>
          </cell>
        </row>
        <row r="541">
          <cell r="B541" t="str">
            <v>Saint-Félicien</v>
          </cell>
        </row>
        <row r="542">
          <cell r="B542" t="str">
            <v>Saint-Georges-de-</v>
          </cell>
        </row>
        <row r="543">
          <cell r="B543" t="str">
            <v>Saint-Hubert</v>
          </cell>
        </row>
        <row r="544">
          <cell r="B544" t="str">
            <v>Saint-Hubert-de-</v>
          </cell>
        </row>
        <row r="545">
          <cell r="B545" t="str">
            <v>Saint-Hyacinthe</v>
          </cell>
        </row>
        <row r="546">
          <cell r="B546" t="str">
            <v>Saint-Jean-sur-</v>
          </cell>
        </row>
        <row r="547">
          <cell r="B547" t="str">
            <v>Saint-Jérôme</v>
          </cell>
        </row>
        <row r="548">
          <cell r="B548" t="str">
            <v>Saint-Jovite</v>
          </cell>
        </row>
        <row r="549">
          <cell r="B549" t="str">
            <v>Saint-Lazare / Hudson</v>
          </cell>
        </row>
        <row r="550">
          <cell r="B550" t="str">
            <v>Saint-Nicolas</v>
          </cell>
        </row>
        <row r="551">
          <cell r="B551" t="str">
            <v>Salaberry-de-</v>
          </cell>
        </row>
        <row r="552">
          <cell r="B552" t="str">
            <v>Schefferville</v>
          </cell>
        </row>
        <row r="553">
          <cell r="B553" t="str">
            <v>Senneterre</v>
          </cell>
        </row>
        <row r="554">
          <cell r="B554" t="str">
            <v>Shawinigan</v>
          </cell>
        </row>
        <row r="555">
          <cell r="B555" t="str">
            <v>Shawville</v>
          </cell>
        </row>
        <row r="556">
          <cell r="B556" t="str">
            <v>Sherbrooke</v>
          </cell>
        </row>
        <row r="557">
          <cell r="B557" t="str">
            <v>Sorel</v>
          </cell>
        </row>
        <row r="558">
          <cell r="B558" t="str">
            <v>Sutton</v>
          </cell>
        </row>
        <row r="559">
          <cell r="B559" t="str">
            <v>Tadoussac</v>
          </cell>
        </row>
        <row r="560">
          <cell r="B560" t="str">
            <v>Témiscaming</v>
          </cell>
        </row>
        <row r="561">
          <cell r="B561" t="str">
            <v>Terrebonne</v>
          </cell>
        </row>
        <row r="562">
          <cell r="B562" t="str">
            <v>Thetford Mines</v>
          </cell>
        </row>
        <row r="563">
          <cell r="B563" t="str">
            <v>Thurso</v>
          </cell>
        </row>
        <row r="564">
          <cell r="B564" t="str">
            <v>Trois-Rivières</v>
          </cell>
        </row>
        <row r="565">
          <cell r="B565" t="str">
            <v>Val-d'Or</v>
          </cell>
        </row>
        <row r="566">
          <cell r="B566" t="str">
            <v>Varennes</v>
          </cell>
        </row>
        <row r="567">
          <cell r="B567" t="str">
            <v>Verchères</v>
          </cell>
        </row>
        <row r="568">
          <cell r="B568" t="str">
            <v>Victoriaville</v>
          </cell>
        </row>
        <row r="569">
          <cell r="B569" t="str">
            <v>Ville-Marie</v>
          </cell>
        </row>
        <row r="570">
          <cell r="B570" t="str">
            <v>Wakefield</v>
          </cell>
        </row>
        <row r="571">
          <cell r="B571" t="str">
            <v>Waterloo</v>
          </cell>
        </row>
        <row r="572">
          <cell r="B572" t="str">
            <v>Windsor</v>
          </cell>
        </row>
        <row r="573">
          <cell r="B573" t="str">
            <v>Alma</v>
          </cell>
        </row>
        <row r="574">
          <cell r="B574" t="str">
            <v>Bathurst</v>
          </cell>
        </row>
        <row r="575">
          <cell r="B575" t="str">
            <v>Vo Boiestown</v>
          </cell>
        </row>
        <row r="576">
          <cell r="B576" t="str">
            <v>Campbellton</v>
          </cell>
        </row>
        <row r="577">
          <cell r="B577" t="str">
            <v>Edmundston</v>
          </cell>
        </row>
        <row r="578">
          <cell r="B578" t="str">
            <v>Fredericton</v>
          </cell>
        </row>
        <row r="579">
          <cell r="B579" t="str">
            <v>Gagetown</v>
          </cell>
        </row>
        <row r="580">
          <cell r="B580" t="str">
            <v>Grand Falls</v>
          </cell>
        </row>
        <row r="581">
          <cell r="B581" t="str">
            <v>Miramichi</v>
          </cell>
        </row>
        <row r="582">
          <cell r="B582" t="str">
            <v>Moncton</v>
          </cell>
        </row>
        <row r="583">
          <cell r="B583" t="str">
            <v>Oromocto</v>
          </cell>
        </row>
        <row r="584">
          <cell r="B584" t="str">
            <v>Sackville</v>
          </cell>
        </row>
        <row r="585">
          <cell r="B585" t="str">
            <v>Saint Andrews</v>
          </cell>
        </row>
        <row r="586">
          <cell r="B586" t="str">
            <v>Saint John</v>
          </cell>
        </row>
        <row r="587">
          <cell r="B587" t="str">
            <v>Shippagan</v>
          </cell>
        </row>
        <row r="588">
          <cell r="B588" t="str">
            <v>St. George</v>
          </cell>
        </row>
        <row r="589">
          <cell r="B589" t="str">
            <v>St. Stephen</v>
          </cell>
        </row>
        <row r="590">
          <cell r="B590" t="str">
            <v>Woodstock</v>
          </cell>
        </row>
        <row r="591">
          <cell r="B591" t="str">
            <v>Amherst</v>
          </cell>
        </row>
        <row r="592">
          <cell r="B592" t="str">
            <v>Antigonish</v>
          </cell>
        </row>
        <row r="593">
          <cell r="B593" t="str">
            <v>Bridgewater</v>
          </cell>
        </row>
        <row r="594">
          <cell r="B594" t="str">
            <v>Canso</v>
          </cell>
        </row>
        <row r="595">
          <cell r="B595" t="str">
            <v>Debert</v>
          </cell>
        </row>
        <row r="596">
          <cell r="B596" t="str">
            <v>Digby</v>
          </cell>
        </row>
        <row r="597">
          <cell r="B597" t="str">
            <v>Greenwood (CFB)</v>
          </cell>
        </row>
        <row r="598">
          <cell r="B598" t="str">
            <v>iv Dartmouth</v>
          </cell>
        </row>
        <row r="599">
          <cell r="B599" t="str">
            <v>Halifax</v>
          </cell>
        </row>
        <row r="600">
          <cell r="B600" t="str">
            <v>Kentville</v>
          </cell>
        </row>
        <row r="601">
          <cell r="B601" t="str">
            <v>Liverpool</v>
          </cell>
        </row>
        <row r="602">
          <cell r="B602" t="str">
            <v>Lockeport</v>
          </cell>
        </row>
        <row r="603">
          <cell r="B603" t="str">
            <v>Louisbourg</v>
          </cell>
        </row>
        <row r="604">
          <cell r="B604" t="str">
            <v>Lunenburg</v>
          </cell>
        </row>
        <row r="605">
          <cell r="B605" t="str">
            <v>New Glasgow</v>
          </cell>
        </row>
        <row r="606">
          <cell r="B606" t="str">
            <v>North Sydney</v>
          </cell>
        </row>
        <row r="607">
          <cell r="B607" t="str">
            <v>Pictou</v>
          </cell>
        </row>
        <row r="608">
          <cell r="B608" t="str">
            <v>Port Hawkesbury</v>
          </cell>
        </row>
        <row r="609">
          <cell r="B609" t="str">
            <v>Springhill</v>
          </cell>
        </row>
        <row r="610">
          <cell r="B610" t="str">
            <v>Stewiacke</v>
          </cell>
        </row>
        <row r="611">
          <cell r="B611" t="str">
            <v>Sydney</v>
          </cell>
        </row>
        <row r="612">
          <cell r="B612" t="str">
            <v>Tatamagouche</v>
          </cell>
        </row>
        <row r="613">
          <cell r="B613" t="str">
            <v>Truro</v>
          </cell>
        </row>
        <row r="614">
          <cell r="B614" t="str">
            <v>Wolfville</v>
          </cell>
        </row>
        <row r="615">
          <cell r="B615" t="str">
            <v>Yarmouth</v>
          </cell>
        </row>
        <row r="616">
          <cell r="B616" t="str">
            <v>Charlottetown</v>
          </cell>
        </row>
        <row r="617">
          <cell r="B617" t="str">
            <v>Souris</v>
          </cell>
        </row>
        <row r="618">
          <cell r="B618" t="str">
            <v>Summerside</v>
          </cell>
        </row>
        <row r="619">
          <cell r="B619" t="str">
            <v>Tignish</v>
          </cell>
        </row>
        <row r="620">
          <cell r="B620" t="str">
            <v>Argentia</v>
          </cell>
        </row>
        <row r="621">
          <cell r="B621" t="str">
            <v>Bonavista</v>
          </cell>
        </row>
        <row r="622">
          <cell r="B622" t="str">
            <v>Buchans</v>
          </cell>
        </row>
        <row r="623">
          <cell r="B623" t="str">
            <v>Cape Harrison</v>
          </cell>
        </row>
        <row r="624">
          <cell r="B624" t="str">
            <v>Cape Race</v>
          </cell>
        </row>
        <row r="625">
          <cell r="B625" t="str">
            <v>lu Channel-Port</v>
          </cell>
        </row>
        <row r="626">
          <cell r="B626" t="str">
            <v>Corner Brook</v>
          </cell>
        </row>
        <row r="627">
          <cell r="B627" t="str">
            <v>Gander</v>
          </cell>
        </row>
        <row r="628">
          <cell r="B628" t="str">
            <v>Grand Bank</v>
          </cell>
        </row>
        <row r="629">
          <cell r="B629" t="str">
            <v>Grand Falls</v>
          </cell>
        </row>
        <row r="630">
          <cell r="B630" t="str">
            <v>Happy Valley-Goose</v>
          </cell>
        </row>
        <row r="631">
          <cell r="B631" t="str">
            <v>Labrador City</v>
          </cell>
        </row>
        <row r="632">
          <cell r="B632" t="str">
            <v>St. Anthony</v>
          </cell>
        </row>
        <row r="633">
          <cell r="B633" t="str">
            <v>Stephenville</v>
          </cell>
        </row>
        <row r="634">
          <cell r="B634" t="str">
            <v>St. John's</v>
          </cell>
        </row>
        <row r="635">
          <cell r="B635" t="str">
            <v>Twin Falls</v>
          </cell>
        </row>
        <row r="636">
          <cell r="B636" t="str">
            <v>Wabana</v>
          </cell>
        </row>
        <row r="637">
          <cell r="B637" t="str">
            <v>Wabush</v>
          </cell>
        </row>
        <row r="638">
          <cell r="B638" t="str">
            <v>Aishihik</v>
          </cell>
        </row>
        <row r="639">
          <cell r="B639" t="str">
            <v>Dawson</v>
          </cell>
        </row>
        <row r="640">
          <cell r="B640" t="str">
            <v>Destruction Bay</v>
          </cell>
        </row>
        <row r="641">
          <cell r="B641" t="str">
            <v>Faro</v>
          </cell>
        </row>
        <row r="642">
          <cell r="B642" t="str">
            <v>Haines Junction</v>
          </cell>
        </row>
        <row r="643">
          <cell r="B643" t="str">
            <v>Snag</v>
          </cell>
        </row>
        <row r="644">
          <cell r="B644" t="str">
            <v>Teslin</v>
          </cell>
        </row>
        <row r="645">
          <cell r="B645" t="str">
            <v>Watson Lake</v>
          </cell>
        </row>
        <row r="646">
          <cell r="B646" t="str">
            <v>Whitehorse</v>
          </cell>
        </row>
        <row r="647">
          <cell r="B647" t="str">
            <v>iv Aklavik</v>
          </cell>
        </row>
        <row r="648">
          <cell r="B648" t="str">
            <v>on Behchokǫ̀ / Rae-Edzo</v>
          </cell>
        </row>
        <row r="649">
          <cell r="B649" t="str">
            <v>Echo Bay /</v>
          </cell>
        </row>
        <row r="650">
          <cell r="B650" t="str">
            <v>Fort Good Hope</v>
          </cell>
        </row>
        <row r="651">
          <cell r="B651" t="str">
            <v>Fort McPherson</v>
          </cell>
        </row>
        <row r="652">
          <cell r="B652" t="str">
            <v>Fort Providence</v>
          </cell>
        </row>
        <row r="653">
          <cell r="B653" t="str">
            <v>Fort Resolution</v>
          </cell>
        </row>
        <row r="654">
          <cell r="B654" t="str">
            <v>Fort Simpson</v>
          </cell>
        </row>
        <row r="655">
          <cell r="B655" t="str">
            <v>Fort Smith</v>
          </cell>
        </row>
        <row r="656">
          <cell r="B656" t="str">
            <v>Hay River</v>
          </cell>
        </row>
        <row r="657">
          <cell r="B657" t="str">
            <v>Inuvik</v>
          </cell>
        </row>
        <row r="658">
          <cell r="B658" t="str">
            <v>Mould Bay</v>
          </cell>
        </row>
        <row r="659">
          <cell r="B659" t="str">
            <v>Norman Wells</v>
          </cell>
        </row>
        <row r="660">
          <cell r="B660" t="str">
            <v>Tungsten</v>
          </cell>
        </row>
        <row r="661">
          <cell r="B661" t="str">
            <v>Ulukhaktok / Holman</v>
          </cell>
        </row>
        <row r="662">
          <cell r="B662" t="str">
            <v>Wrigley</v>
          </cell>
        </row>
        <row r="663">
          <cell r="B663" t="str">
            <v>Yellowknife</v>
          </cell>
        </row>
        <row r="664">
          <cell r="B664" t="str">
            <v>Alert</v>
          </cell>
        </row>
        <row r="665">
          <cell r="B665" t="str">
            <v>Arctic Bay</v>
          </cell>
        </row>
        <row r="666">
          <cell r="B666" t="str">
            <v>Arviat</v>
          </cell>
        </row>
        <row r="667">
          <cell r="B667" t="str">
            <v>ld Baker Lake</v>
          </cell>
        </row>
        <row r="668">
          <cell r="B668" t="str">
            <v>Eureka</v>
          </cell>
        </row>
        <row r="669">
          <cell r="B669" t="str">
            <v>Igluligaarjuk /</v>
          </cell>
        </row>
        <row r="670">
          <cell r="B670" t="str">
            <v>Iqaluit</v>
          </cell>
        </row>
        <row r="671">
          <cell r="B671" t="str">
            <v>Iqaluktuuttiaq /</v>
          </cell>
        </row>
        <row r="672">
          <cell r="B672" t="str">
            <v>Isachsen</v>
          </cell>
        </row>
        <row r="673">
          <cell r="B673" t="str">
            <v>Kangiqiniq/RankinInlet</v>
          </cell>
        </row>
        <row r="674">
          <cell r="B674" t="str">
            <v>Kanngiqtugaapik /</v>
          </cell>
        </row>
        <row r="675">
          <cell r="B675" t="str">
            <v>Kugluktuk / Coppermine</v>
          </cell>
        </row>
        <row r="676">
          <cell r="B676" t="str">
            <v>Nottingham Island</v>
          </cell>
        </row>
        <row r="677">
          <cell r="B677" t="str">
            <v>Resolute</v>
          </cell>
        </row>
        <row r="678">
          <cell r="B678" t="str">
            <v>Resolution Island</v>
          </cell>
        </row>
        <row r="679">
          <cell r="B679" t="str">
            <v>Salliq / Coral Harbour</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ndor Datas"/>
      <sheetName val="LoadComb. Trans."/>
      <sheetName val="LoadComb. Lift."/>
      <sheetName val="SLS LoadComb."/>
      <sheetName val="ULS LoadComb."/>
      <sheetName val="Dead Load"/>
      <sheetName val="Site Data"/>
      <sheetName val="Wind,Snow,seismic"/>
      <sheetName val="Wind Distributation"/>
      <sheetName val="Pile Design-406"/>
      <sheetName val="Pile Capacities &amp; Stiffness"/>
      <sheetName val="Kh"/>
    </sheetNames>
    <sheetDataSet>
      <sheetData sheetId="0"/>
      <sheetData sheetId="1"/>
      <sheetData sheetId="2"/>
      <sheetData sheetId="3"/>
      <sheetData sheetId="4"/>
      <sheetData sheetId="5"/>
      <sheetData sheetId="6"/>
      <sheetData sheetId="7">
        <row r="132">
          <cell r="C132" t="str">
            <v>b) Secondary Members</v>
          </cell>
        </row>
        <row r="151">
          <cell r="S151">
            <v>0.50305106795973442</v>
          </cell>
        </row>
        <row r="157">
          <cell r="S157">
            <v>0.70427149514362819</v>
          </cell>
        </row>
      </sheetData>
      <sheetData sheetId="8"/>
      <sheetData sheetId="9"/>
      <sheetData sheetId="10"/>
      <sheetData sheetId="11"/>
    </sheetDataSet>
  </externalBook>
</externalLink>
</file>

<file path=xl/persons/person.xml><?xml version="1.0" encoding="utf-8"?>
<personList xmlns="http://schemas.microsoft.com/office/spreadsheetml/2018/threadedcomments" xmlns:x="http://schemas.openxmlformats.org/spreadsheetml/2006/main">
  <person displayName="Mohamed Irhouma" id="{823E959E-66B9-4542-AC8A-310BCDC34DBE}" userId="S::mohamed.irhouma@vistaprojects.com::3f2706e0-a685-472c-8c3d-1ac08190c19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7" displayName="Table7" ref="A5:B25" totalsRowShown="0" headerRowDxfId="55" dataDxfId="53" headerRowBorderDxfId="54" tableBorderDxfId="52" totalsRowBorderDxfId="51" headerRowCellStyle="Normal 2" dataCellStyle="Normal 2">
  <autoFilter ref="A5:B25" xr:uid="{00000000-0009-0000-0100-000001000000}"/>
  <tableColumns count="2">
    <tableColumn id="1" xr3:uid="{00000000-0010-0000-0000-000001000000}" name="Load Combination" dataDxfId="50" dataCellStyle="Normal 2"/>
    <tableColumn id="2" xr3:uid="{00000000-0010-0000-0000-000002000000}" name="Description" dataDxfId="49"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LoadCombinations5" displayName="Tbl_LoadCombinations5" ref="B5:C12" totalsRowShown="0" headerRowDxfId="48" dataDxfId="47" tableBorderDxfId="46">
  <autoFilter ref="B5:C12" xr:uid="{00000000-0009-0000-0100-000002000000}"/>
  <tableColumns count="2">
    <tableColumn id="1" xr3:uid="{00000000-0010-0000-0100-000001000000}" name="Load Combination" dataDxfId="45"/>
    <tableColumn id="2" xr3:uid="{00000000-0010-0000-0100-000002000000}" name="Description"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CgCp" displayName="Tbl_CgCp" ref="C264:P269" totalsRowShown="0" headerRowDxfId="43" tableBorderDxfId="42">
  <autoFilter ref="C264:P269" xr:uid="{00000000-0009-0000-0100-000003000000}"/>
  <tableColumns count="14">
    <tableColumn id="1" xr3:uid="{00000000-0010-0000-0200-000001000000}" name="Load Case"/>
    <tableColumn id="2" xr3:uid="{00000000-0010-0000-0200-000002000000}" name="Roof Slope" dataDxfId="41"/>
    <tableColumn id="3" xr3:uid="{00000000-0010-0000-0200-000003000000}" name="1"/>
    <tableColumn id="4" xr3:uid="{00000000-0010-0000-0200-000004000000}" name="1E"/>
    <tableColumn id="5" xr3:uid="{00000000-0010-0000-0200-000005000000}" name="2"/>
    <tableColumn id="6" xr3:uid="{00000000-0010-0000-0200-000006000000}" name="2E"/>
    <tableColumn id="7" xr3:uid="{00000000-0010-0000-0200-000007000000}" name="3"/>
    <tableColumn id="8" xr3:uid="{00000000-0010-0000-0200-000008000000}" name="3E"/>
    <tableColumn id="9" xr3:uid="{00000000-0010-0000-0200-000009000000}" name="4"/>
    <tableColumn id="10" xr3:uid="{00000000-0010-0000-0200-00000A000000}" name="4E"/>
    <tableColumn id="11" xr3:uid="{00000000-0010-0000-0200-00000B000000}" name="5" dataDxfId="40"/>
    <tableColumn id="12" xr3:uid="{00000000-0010-0000-0200-00000C000000}" name="5E"/>
    <tableColumn id="13" xr3:uid="{00000000-0010-0000-0200-00000D000000}" name="6"/>
    <tableColumn id="14" xr3:uid="{00000000-0010-0000-0200-00000E000000}" name="6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 displayName="Table1" ref="AS151:AX163" totalsRowShown="0" headerRowDxfId="39" dataDxfId="37" headerRowBorderDxfId="38" tableBorderDxfId="36" totalsRowBorderDxfId="35">
  <autoFilter ref="AS151:AX163" xr:uid="{00000000-0009-0000-0100-000004000000}"/>
  <tableColumns count="6">
    <tableColumn id="1" xr3:uid="{00000000-0010-0000-0300-000001000000}" name="Column1" dataDxfId="34"/>
    <tableColumn id="2" xr3:uid="{00000000-0010-0000-0300-000002000000}" name="Column2" dataDxfId="33"/>
    <tableColumn id="3" xr3:uid="{00000000-0010-0000-0300-000003000000}" name="Column3" dataDxfId="32"/>
    <tableColumn id="4" xr3:uid="{00000000-0010-0000-0300-000004000000}" name="Column4" dataDxfId="31"/>
    <tableColumn id="5" xr3:uid="{00000000-0010-0000-0300-000005000000}" name="Column5" dataDxfId="30"/>
    <tableColumn id="6" xr3:uid="{00000000-0010-0000-0300-000006000000}" name="Column6" dataDxfId="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701C12-3909-4801-AAA4-288A96789F0B}" name="Tbl_CgCp6" displayName="Tbl_CgCp6" ref="C252:P257" totalsRowShown="0" headerRowDxfId="28" headerRowBorderDxfId="27" tableBorderDxfId="26" totalsRowBorderDxfId="25">
  <autoFilter ref="C252:P257" xr:uid="{00000000-0009-0000-0100-000003000000}"/>
  <tableColumns count="14">
    <tableColumn id="1" xr3:uid="{E3E9DE92-E048-44AE-A043-528893C64975}" name="Load Case" dataDxfId="24"/>
    <tableColumn id="2" xr3:uid="{04D0C6AA-7ADF-4C46-91A6-D11AAFD6E49E}" name="Roof Slope" dataDxfId="23"/>
    <tableColumn id="3" xr3:uid="{667917BD-B068-4750-9AD8-087F9645E49C}" name="1" dataDxfId="22"/>
    <tableColumn id="4" xr3:uid="{E9B526EE-BBE7-4E96-980F-28721BC9F6D2}" name="1E" dataDxfId="21"/>
    <tableColumn id="5" xr3:uid="{02648BD6-E9FB-4DEA-AEF5-464E90A64296}" name="2" dataDxfId="20"/>
    <tableColumn id="6" xr3:uid="{A5267B7A-9C62-46E0-AE7A-09240B7310A3}" name="2E" dataDxfId="19"/>
    <tableColumn id="7" xr3:uid="{F401D284-4F89-4FD5-840F-F105B07CB1F3}" name="3" dataDxfId="18"/>
    <tableColumn id="8" xr3:uid="{2862C314-FF2D-4E15-9853-1F2CA6E416C9}" name="3E" dataDxfId="17"/>
    <tableColumn id="9" xr3:uid="{1C4BBEEE-5854-4FC6-B189-4A79A8C4A41E}" name="4" dataDxfId="16"/>
    <tableColumn id="10" xr3:uid="{0724CFC0-94B8-4178-ABC4-236A8DD4F5B8}" name="4E" dataDxfId="15"/>
    <tableColumn id="11" xr3:uid="{C66C04F2-52CC-4DE4-B669-6CFF658D48C2}" name="5" dataDxfId="14"/>
    <tableColumn id="12" xr3:uid="{BE3C11BA-73F1-48BE-8879-BF6F9418D80D}" name="5E" dataDxfId="13"/>
    <tableColumn id="13" xr3:uid="{BBFC0187-0B3A-4A93-A831-ABF56CBC1254}" name="6" dataDxfId="12"/>
    <tableColumn id="14" xr3:uid="{B907A22E-B4CA-4BED-8E21-AF3B06B5451E}" name="6E" dataDxfId="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5A8F7A-7FFB-4AF8-A967-8A85E9ABA523}" name="Table17" displayName="Table17" ref="AS141:AX153" totalsRowShown="0" headerRowDxfId="10" dataDxfId="8" headerRowBorderDxfId="9" tableBorderDxfId="7" totalsRowBorderDxfId="6">
  <autoFilter ref="AS141:AX153" xr:uid="{00000000-0009-0000-0100-000004000000}"/>
  <tableColumns count="6">
    <tableColumn id="1" xr3:uid="{3B65758B-98DE-4F71-B0AE-6ED8B0C256A6}" name="Column1" dataDxfId="5"/>
    <tableColumn id="2" xr3:uid="{9546C692-5928-4A3E-B085-FC93E2E06CB7}" name="Column2" dataDxfId="4"/>
    <tableColumn id="3" xr3:uid="{69E5121F-6C14-4180-8ACA-5DDBAA057034}" name="Column3" dataDxfId="3"/>
    <tableColumn id="4" xr3:uid="{6BD87194-656C-4186-8AFE-AA7389C9BF38}" name="Column4" dataDxfId="2"/>
    <tableColumn id="5" xr3:uid="{C8938196-CCE3-45DB-9B5C-38989314818D}" name="Column5" dataDxfId="1"/>
    <tableColumn id="6" xr3:uid="{E03E0D32-8617-4E20-8996-EC8DAAE34C90}" name="Column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8" dT="2025-09-15T04:06:56.01" personId="{823E959E-66B9-4542-AC8A-310BCDC34DBE}" id="{186CA438-532C-419E-94EA-E97B71FE6902}">
    <text>Height of highest pipe from ground level + height of lowest pipe from ground level</text>
  </threadedComment>
  <threadedComment ref="L9" dT="2025-09-15T04:08:12.37" personId="{823E959E-66B9-4542-AC8A-310BCDC34DBE}" id="{1B7ACC82-F0CE-4763-9E47-FEED1356B8DB}">
    <text>Summation of height of both pipes at pipe radius from ground level.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https://geology-ags-aer.opendata.arcgis.com/datasets/ags-aer::alberta-earthquakes/about" TargetMode="External"/><Relationship Id="rId7" Type="http://schemas.openxmlformats.org/officeDocument/2006/relationships/vmlDrawing" Target="../drawings/vmlDrawing4.vml"/><Relationship Id="rId2" Type="http://schemas.openxmlformats.org/officeDocument/2006/relationships/hyperlink" Target="https://ags.aer.ca/interactive-data-and-tools/coordinate-conversion-tools/ats-geographic-degrees" TargetMode="External"/><Relationship Id="rId1" Type="http://schemas.openxmlformats.org/officeDocument/2006/relationships/hyperlink" Target="https://ags.aer.ca/interactive-data-and-tools/coordinate-conversion-tools/latitude-and-longitude-ats" TargetMode="External"/><Relationship Id="rId6" Type="http://schemas.openxmlformats.org/officeDocument/2006/relationships/drawing" Target="../drawings/drawing4.xml"/><Relationship Id="rId5" Type="http://schemas.openxmlformats.org/officeDocument/2006/relationships/printerSettings" Target="../printerSettings/printerSettings1.bin"/><Relationship Id="rId10" Type="http://schemas.openxmlformats.org/officeDocument/2006/relationships/comments" Target="../comments4.xml"/><Relationship Id="rId4" Type="http://schemas.openxmlformats.org/officeDocument/2006/relationships/hyperlink" Target="https://www.seismescanada.rncan.gc.ca/hazard-alea/interpolat/nbc2020-cnb2020-en.php?code=nbc2020&amp;latitude=60.722&amp;longitude=-135.054&amp;siteDesignation=XS&amp;siteDesignationXS=C" TargetMode="Externa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hyperlink" Target="https://geology-ags-aer.opendata.arcgis.com/datasets/ags-aer::alberta-earthquakes/about" TargetMode="External"/><Relationship Id="rId7" Type="http://schemas.openxmlformats.org/officeDocument/2006/relationships/vmlDrawing" Target="../drawings/vmlDrawing5.vml"/><Relationship Id="rId2" Type="http://schemas.openxmlformats.org/officeDocument/2006/relationships/hyperlink" Target="https://ags.aer.ca/interactive-data-and-tools/coordinate-conversion-tools/ats-geographic-degrees" TargetMode="External"/><Relationship Id="rId1" Type="http://schemas.openxmlformats.org/officeDocument/2006/relationships/hyperlink" Target="https://ags.aer.ca/interactive-data-and-tools/coordinate-conversion-tools/latitude-and-longitude-ats" TargetMode="External"/><Relationship Id="rId6" Type="http://schemas.openxmlformats.org/officeDocument/2006/relationships/drawing" Target="../drawings/drawing5.xml"/><Relationship Id="rId11" Type="http://schemas.microsoft.com/office/2017/10/relationships/threadedComment" Target="../threadedComments/threadedComment1.xml"/><Relationship Id="rId5" Type="http://schemas.openxmlformats.org/officeDocument/2006/relationships/printerSettings" Target="../printerSettings/printerSettings2.bin"/><Relationship Id="rId10" Type="http://schemas.openxmlformats.org/officeDocument/2006/relationships/comments" Target="../comments5.xml"/><Relationship Id="rId4" Type="http://schemas.openxmlformats.org/officeDocument/2006/relationships/hyperlink" Target="https://www.seismescanada.rncan.gc.ca/hazard-alea/interpolat/nbc2020-cnb2020-en.php?code=nbc2020&amp;latitude=60.722&amp;longitude=-135.054&amp;siteDesignation=XS&amp;siteDesignationXS=C" TargetMode="External"/><Relationship Id="rId9"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137"/>
  <sheetViews>
    <sheetView topLeftCell="A2" zoomScale="85" zoomScaleNormal="85" workbookViewId="0">
      <selection activeCell="B10" sqref="B10"/>
    </sheetView>
  </sheetViews>
  <sheetFormatPr defaultRowHeight="14.5" x14ac:dyDescent="0.35"/>
  <cols>
    <col min="1" max="1" width="50.81640625" style="50" customWidth="1"/>
    <col min="2" max="2" width="40.453125" style="50" customWidth="1"/>
    <col min="3" max="4" width="12.453125" customWidth="1"/>
    <col min="5" max="5" width="11.54296875" customWidth="1"/>
    <col min="7" max="7" width="10" customWidth="1"/>
    <col min="11" max="11" width="14.453125" customWidth="1"/>
    <col min="17" max="17" width="17.81640625" customWidth="1"/>
    <col min="18" max="18" width="14" customWidth="1"/>
  </cols>
  <sheetData>
    <row r="1" spans="1:12" hidden="1" x14ac:dyDescent="0.35">
      <c r="E1" s="678"/>
      <c r="G1" s="679"/>
      <c r="H1" s="678"/>
      <c r="I1" s="678"/>
      <c r="J1" s="678"/>
      <c r="K1" s="678"/>
      <c r="L1" s="680"/>
    </row>
    <row r="2" spans="1:12" ht="27.65" customHeight="1" x14ac:dyDescent="0.55000000000000004">
      <c r="A2" s="681"/>
      <c r="B2" s="682"/>
      <c r="C2" s="683"/>
      <c r="D2" s="684"/>
      <c r="E2" s="685"/>
      <c r="F2" s="686"/>
      <c r="G2" s="685"/>
      <c r="I2" s="687"/>
      <c r="J2" s="687"/>
      <c r="K2" s="687"/>
      <c r="L2" s="688"/>
    </row>
    <row r="3" spans="1:12" ht="32.15" customHeight="1" x14ac:dyDescent="0.5">
      <c r="A3" s="689" t="s">
        <v>0</v>
      </c>
      <c r="C3" s="690"/>
      <c r="D3" s="691"/>
      <c r="E3" s="692"/>
      <c r="F3" s="692"/>
      <c r="G3" s="685"/>
      <c r="H3" s="693"/>
      <c r="I3" s="687"/>
      <c r="J3" s="687"/>
      <c r="K3" s="687"/>
      <c r="L3" s="688"/>
    </row>
    <row r="4" spans="1:12" ht="25.5" customHeight="1" thickBot="1" x14ac:dyDescent="0.4">
      <c r="D4" s="686"/>
      <c r="E4" s="694"/>
      <c r="F4" s="695"/>
      <c r="G4" s="694"/>
      <c r="H4" s="696"/>
      <c r="I4" s="687"/>
      <c r="J4" s="687"/>
      <c r="K4" s="687"/>
      <c r="L4" s="688"/>
    </row>
    <row r="5" spans="1:12" ht="27.65" customHeight="1" thickBot="1" x14ac:dyDescent="0.5">
      <c r="A5" s="697" t="s">
        <v>1</v>
      </c>
      <c r="B5" s="698" t="s">
        <v>2</v>
      </c>
      <c r="C5" s="687"/>
      <c r="D5" s="699"/>
      <c r="E5" s="700" t="s">
        <v>3</v>
      </c>
      <c r="F5" s="701" t="s">
        <v>4</v>
      </c>
      <c r="G5" s="701"/>
      <c r="H5" s="702"/>
      <c r="I5" s="702"/>
      <c r="J5" s="702"/>
      <c r="K5" s="703"/>
    </row>
    <row r="6" spans="1:12" ht="22.5" customHeight="1" thickBot="1" x14ac:dyDescent="0.5">
      <c r="A6" s="750" t="s">
        <v>5</v>
      </c>
      <c r="B6" s="748" t="s">
        <v>6</v>
      </c>
      <c r="C6" s="687"/>
      <c r="D6" s="699"/>
      <c r="E6" s="704" t="s">
        <v>7</v>
      </c>
      <c r="F6" s="705" t="s">
        <v>8</v>
      </c>
      <c r="G6" s="705"/>
      <c r="H6" s="705"/>
      <c r="I6" s="705"/>
      <c r="J6" s="705"/>
      <c r="K6" s="703"/>
    </row>
    <row r="7" spans="1:12" ht="25" customHeight="1" thickBot="1" x14ac:dyDescent="0.5">
      <c r="A7" s="750" t="s">
        <v>9</v>
      </c>
      <c r="B7" s="748" t="s">
        <v>10</v>
      </c>
      <c r="C7" s="687"/>
      <c r="D7" s="706"/>
      <c r="E7" s="704" t="s">
        <v>11</v>
      </c>
      <c r="F7" s="705" t="s">
        <v>12</v>
      </c>
      <c r="G7" s="705"/>
      <c r="H7" s="705"/>
      <c r="I7" s="705"/>
      <c r="J7" s="705"/>
      <c r="K7" s="703"/>
    </row>
    <row r="8" spans="1:12" ht="29.15" customHeight="1" thickBot="1" x14ac:dyDescent="0.5">
      <c r="A8" s="750" t="s">
        <v>13</v>
      </c>
      <c r="B8" s="748" t="s">
        <v>14</v>
      </c>
      <c r="C8" s="687"/>
      <c r="D8" s="707"/>
      <c r="E8" s="704" t="s">
        <v>15</v>
      </c>
      <c r="F8" s="705" t="s">
        <v>16</v>
      </c>
      <c r="G8" s="705"/>
      <c r="H8" s="705"/>
      <c r="I8" s="705"/>
      <c r="J8" s="705"/>
      <c r="K8" s="703"/>
    </row>
    <row r="9" spans="1:12" ht="25" customHeight="1" thickBot="1" x14ac:dyDescent="0.5">
      <c r="A9" s="750" t="s">
        <v>17</v>
      </c>
      <c r="B9" s="748" t="s">
        <v>18</v>
      </c>
      <c r="C9" s="687"/>
      <c r="E9" s="704" t="s">
        <v>19</v>
      </c>
      <c r="F9" s="705" t="s">
        <v>20</v>
      </c>
      <c r="G9" s="705"/>
      <c r="H9" s="705"/>
      <c r="I9" s="705"/>
      <c r="J9" s="705"/>
      <c r="K9" s="703"/>
    </row>
    <row r="10" spans="1:12" ht="26.5" customHeight="1" thickBot="1" x14ac:dyDescent="0.5">
      <c r="A10" s="750" t="s">
        <v>21</v>
      </c>
      <c r="B10" s="748" t="s">
        <v>22</v>
      </c>
      <c r="C10" s="687"/>
      <c r="E10" s="704" t="s">
        <v>23</v>
      </c>
      <c r="F10" s="705" t="s">
        <v>24</v>
      </c>
      <c r="G10" s="705"/>
      <c r="H10" s="705"/>
      <c r="I10" s="705"/>
      <c r="J10" s="705"/>
      <c r="K10" s="703"/>
    </row>
    <row r="11" spans="1:12" ht="27" customHeight="1" thickBot="1" x14ac:dyDescent="0.5">
      <c r="A11" s="750" t="s">
        <v>25</v>
      </c>
      <c r="B11" s="748" t="s">
        <v>26</v>
      </c>
      <c r="C11" s="687"/>
      <c r="E11" s="704" t="s">
        <v>27</v>
      </c>
      <c r="F11" s="705" t="s">
        <v>28</v>
      </c>
      <c r="G11" s="705"/>
      <c r="H11" s="705"/>
      <c r="I11" s="705"/>
      <c r="J11" s="705"/>
      <c r="K11" s="703"/>
    </row>
    <row r="12" spans="1:12" ht="26.5" customHeight="1" thickBot="1" x14ac:dyDescent="0.5">
      <c r="A12" s="750" t="s">
        <v>29</v>
      </c>
      <c r="B12" s="748" t="s">
        <v>30</v>
      </c>
      <c r="C12" s="687"/>
      <c r="E12" s="704" t="s">
        <v>31</v>
      </c>
      <c r="F12" s="705" t="s">
        <v>32</v>
      </c>
      <c r="G12" s="705"/>
      <c r="H12" s="705"/>
      <c r="I12" s="705"/>
      <c r="J12" s="705"/>
      <c r="K12" s="703"/>
    </row>
    <row r="13" spans="1:12" ht="22" customHeight="1" thickBot="1" x14ac:dyDescent="0.5">
      <c r="A13" s="750" t="s">
        <v>33</v>
      </c>
      <c r="B13" s="748" t="s">
        <v>34</v>
      </c>
      <c r="C13" s="687"/>
      <c r="E13" s="704" t="s">
        <v>35</v>
      </c>
      <c r="F13" s="705" t="s">
        <v>36</v>
      </c>
      <c r="G13" s="705"/>
      <c r="H13" s="705"/>
      <c r="I13" s="705"/>
      <c r="J13" s="705"/>
      <c r="K13" s="703"/>
    </row>
    <row r="14" spans="1:12" ht="25" customHeight="1" thickBot="1" x14ac:dyDescent="0.5">
      <c r="A14" s="750" t="s">
        <v>37</v>
      </c>
      <c r="B14" s="748" t="s">
        <v>38</v>
      </c>
      <c r="C14" s="687"/>
      <c r="E14" s="704" t="s">
        <v>39</v>
      </c>
      <c r="F14" s="705" t="s">
        <v>40</v>
      </c>
      <c r="G14" s="705"/>
      <c r="H14" s="705"/>
      <c r="I14" s="705"/>
      <c r="J14" s="705"/>
      <c r="K14" s="703"/>
    </row>
    <row r="15" spans="1:12" ht="25" customHeight="1" thickBot="1" x14ac:dyDescent="0.5">
      <c r="A15" s="750" t="s">
        <v>41</v>
      </c>
      <c r="B15" s="748" t="s">
        <v>42</v>
      </c>
      <c r="C15" s="687"/>
      <c r="E15" s="704" t="s">
        <v>43</v>
      </c>
      <c r="F15" s="705" t="s">
        <v>44</v>
      </c>
      <c r="G15" s="705"/>
      <c r="H15" s="705"/>
      <c r="I15" s="705"/>
      <c r="J15" s="705"/>
      <c r="K15" s="703"/>
    </row>
    <row r="16" spans="1:12" ht="25" customHeight="1" thickBot="1" x14ac:dyDescent="0.5">
      <c r="A16" s="750" t="s">
        <v>45</v>
      </c>
      <c r="B16" s="748" t="s">
        <v>46</v>
      </c>
      <c r="C16" s="687"/>
      <c r="E16" s="704" t="s">
        <v>47</v>
      </c>
      <c r="F16" s="705" t="s">
        <v>48</v>
      </c>
      <c r="G16" s="705"/>
      <c r="H16" s="705"/>
      <c r="I16" s="705"/>
      <c r="J16" s="705"/>
      <c r="K16" s="703"/>
    </row>
    <row r="17" spans="1:22" ht="25" customHeight="1" thickBot="1" x14ac:dyDescent="0.5">
      <c r="A17" s="750" t="s">
        <v>49</v>
      </c>
      <c r="B17" s="748" t="s">
        <v>50</v>
      </c>
      <c r="C17" s="687"/>
      <c r="E17" s="704" t="s">
        <v>51</v>
      </c>
      <c r="F17" s="705" t="s">
        <v>52</v>
      </c>
      <c r="G17" s="705"/>
      <c r="H17" s="705"/>
      <c r="I17" s="705"/>
      <c r="J17" s="705"/>
      <c r="K17" s="703"/>
    </row>
    <row r="18" spans="1:22" ht="25" customHeight="1" thickBot="1" x14ac:dyDescent="0.5">
      <c r="A18" s="750" t="s">
        <v>53</v>
      </c>
      <c r="B18" s="748" t="s">
        <v>54</v>
      </c>
      <c r="C18" s="687"/>
      <c r="E18" s="704" t="s">
        <v>55</v>
      </c>
      <c r="F18" s="705" t="s">
        <v>56</v>
      </c>
      <c r="G18" s="705"/>
      <c r="H18" s="705"/>
      <c r="I18" s="705"/>
      <c r="J18" s="705"/>
      <c r="K18" s="703"/>
    </row>
    <row r="19" spans="1:22" ht="25" customHeight="1" thickBot="1" x14ac:dyDescent="0.5">
      <c r="A19" s="750" t="s">
        <v>57</v>
      </c>
      <c r="B19" s="748" t="s">
        <v>58</v>
      </c>
      <c r="C19" s="687"/>
      <c r="E19" s="704" t="s">
        <v>59</v>
      </c>
      <c r="F19" s="705" t="s">
        <v>60</v>
      </c>
      <c r="G19" s="705"/>
      <c r="H19" s="705"/>
      <c r="I19" s="705"/>
      <c r="J19" s="705"/>
      <c r="K19" s="703"/>
      <c r="Q19" s="708"/>
      <c r="R19" s="709"/>
    </row>
    <row r="20" spans="1:22" ht="30" customHeight="1" thickBot="1" x14ac:dyDescent="0.5">
      <c r="A20" s="750" t="s">
        <v>61</v>
      </c>
      <c r="B20" s="748" t="s">
        <v>62</v>
      </c>
      <c r="C20" s="687"/>
      <c r="E20" s="704" t="s">
        <v>63</v>
      </c>
      <c r="F20" s="705" t="s">
        <v>64</v>
      </c>
      <c r="G20" s="705"/>
      <c r="H20" s="705"/>
      <c r="I20" s="705"/>
      <c r="J20" s="705"/>
      <c r="K20" s="703"/>
      <c r="Q20" s="709"/>
      <c r="R20" s="710"/>
    </row>
    <row r="21" spans="1:22" ht="30.75" customHeight="1" thickBot="1" x14ac:dyDescent="0.5">
      <c r="A21" s="750" t="s">
        <v>65</v>
      </c>
      <c r="B21" s="748" t="s">
        <v>66</v>
      </c>
      <c r="E21" s="704" t="s">
        <v>67</v>
      </c>
      <c r="F21" s="705" t="s">
        <v>68</v>
      </c>
      <c r="G21" s="705"/>
      <c r="H21" s="705"/>
      <c r="I21" s="705"/>
      <c r="J21" s="705"/>
      <c r="K21" s="711"/>
      <c r="Q21" s="712"/>
      <c r="R21" s="713"/>
      <c r="S21" s="713"/>
      <c r="T21" s="713"/>
    </row>
    <row r="22" spans="1:22" ht="24.65" customHeight="1" thickBot="1" x14ac:dyDescent="0.5">
      <c r="A22" s="750" t="s">
        <v>69</v>
      </c>
      <c r="B22" s="748" t="s">
        <v>70</v>
      </c>
      <c r="E22" s="704" t="s">
        <v>71</v>
      </c>
      <c r="F22" s="705" t="s">
        <v>72</v>
      </c>
      <c r="G22" s="705"/>
      <c r="H22" s="705"/>
      <c r="I22" s="705"/>
      <c r="J22" s="705"/>
      <c r="K22" s="711"/>
      <c r="Q22" s="712"/>
      <c r="R22" s="713"/>
      <c r="S22" s="713"/>
      <c r="T22" s="713"/>
    </row>
    <row r="23" spans="1:22" ht="25" customHeight="1" thickBot="1" x14ac:dyDescent="0.5">
      <c r="A23" s="750" t="s">
        <v>73</v>
      </c>
      <c r="B23" s="748" t="s">
        <v>74</v>
      </c>
      <c r="E23" s="704" t="s">
        <v>75</v>
      </c>
      <c r="F23" s="705" t="s">
        <v>76</v>
      </c>
      <c r="G23" s="705"/>
      <c r="H23" s="705"/>
      <c r="I23" s="705"/>
      <c r="J23" s="705"/>
      <c r="K23" s="711"/>
      <c r="Q23" s="712"/>
      <c r="R23" s="713"/>
      <c r="S23" s="713"/>
      <c r="T23" s="713"/>
    </row>
    <row r="24" spans="1:22" ht="25" customHeight="1" thickBot="1" x14ac:dyDescent="0.45">
      <c r="A24" s="750" t="s">
        <v>77</v>
      </c>
      <c r="B24" s="748" t="s">
        <v>78</v>
      </c>
      <c r="E24" s="704" t="s">
        <v>79</v>
      </c>
      <c r="F24" s="705" t="s">
        <v>80</v>
      </c>
      <c r="G24" s="705"/>
      <c r="H24" s="705"/>
      <c r="I24" s="705"/>
      <c r="J24" s="705"/>
      <c r="K24" s="645"/>
      <c r="O24" s="714"/>
      <c r="P24" s="714"/>
      <c r="Q24" s="713"/>
      <c r="R24" s="713"/>
      <c r="S24" s="713"/>
      <c r="T24" s="713"/>
    </row>
    <row r="25" spans="1:22" ht="28.5" customHeight="1" x14ac:dyDescent="0.45">
      <c r="A25" s="750" t="s">
        <v>81</v>
      </c>
      <c r="B25" s="749" t="s">
        <v>82</v>
      </c>
      <c r="O25" s="713"/>
      <c r="P25" s="715"/>
      <c r="Q25" s="716"/>
      <c r="R25" s="717"/>
      <c r="S25" s="717"/>
      <c r="T25" s="713"/>
    </row>
    <row r="26" spans="1:22" ht="26.5" customHeight="1" x14ac:dyDescent="0.35">
      <c r="Q26" s="713"/>
      <c r="R26" s="718"/>
      <c r="S26" s="719"/>
      <c r="T26" s="719"/>
      <c r="U26" s="719"/>
      <c r="V26" s="713"/>
    </row>
    <row r="27" spans="1:22" x14ac:dyDescent="0.35">
      <c r="Q27" s="713"/>
      <c r="R27" s="720"/>
      <c r="S27" s="713"/>
      <c r="T27" s="713"/>
      <c r="U27" s="713"/>
      <c r="V27" s="713"/>
    </row>
    <row r="28" spans="1:22" ht="16" customHeight="1" x14ac:dyDescent="0.4">
      <c r="A28" s="732" t="s">
        <v>83</v>
      </c>
      <c r="Q28" s="713"/>
      <c r="R28" s="718"/>
      <c r="S28" s="719"/>
      <c r="T28" s="719"/>
      <c r="U28" s="719"/>
      <c r="V28" s="713"/>
    </row>
    <row r="29" spans="1:22" x14ac:dyDescent="0.35">
      <c r="Q29" s="718"/>
      <c r="R29" s="720"/>
      <c r="S29" s="713"/>
      <c r="T29" s="713"/>
      <c r="U29" s="713"/>
      <c r="V29" s="713"/>
    </row>
    <row r="30" spans="1:22" x14ac:dyDescent="0.35">
      <c r="A30" s="232" t="s">
        <v>84</v>
      </c>
      <c r="B30" s="230" t="s">
        <v>85</v>
      </c>
      <c r="C30" s="652" t="s">
        <v>86</v>
      </c>
      <c r="D30" s="652" t="s">
        <v>85</v>
      </c>
      <c r="E30" s="652" t="s">
        <v>86</v>
      </c>
      <c r="F30" s="652" t="s">
        <v>85</v>
      </c>
      <c r="G30" s="652" t="s">
        <v>86</v>
      </c>
      <c r="H30" s="652" t="s">
        <v>85</v>
      </c>
      <c r="I30" s="652" t="s">
        <v>86</v>
      </c>
      <c r="J30" s="652" t="s">
        <v>85</v>
      </c>
      <c r="K30" s="652" t="s">
        <v>86</v>
      </c>
      <c r="L30" s="652" t="s">
        <v>85</v>
      </c>
      <c r="M30" s="652" t="s">
        <v>86</v>
      </c>
      <c r="N30" s="652" t="s">
        <v>85</v>
      </c>
      <c r="O30" s="652" t="s">
        <v>86</v>
      </c>
      <c r="Q30" s="723" t="s">
        <v>87</v>
      </c>
      <c r="R30" s="723" t="s">
        <v>85</v>
      </c>
      <c r="S30" s="719"/>
      <c r="T30" s="719"/>
      <c r="U30" s="719"/>
      <c r="V30" s="713"/>
    </row>
    <row r="31" spans="1:22" x14ac:dyDescent="0.35">
      <c r="A31" s="232" t="s">
        <v>88</v>
      </c>
      <c r="B31" s="232" t="s">
        <v>89</v>
      </c>
      <c r="C31" s="232">
        <v>1.25</v>
      </c>
      <c r="D31" s="232">
        <v>2</v>
      </c>
      <c r="E31" s="232">
        <v>1.25</v>
      </c>
      <c r="F31" s="232">
        <v>5</v>
      </c>
      <c r="G31" s="232">
        <v>1.25</v>
      </c>
      <c r="H31" s="232">
        <v>6</v>
      </c>
      <c r="I31" s="232">
        <v>1</v>
      </c>
      <c r="J31" s="232">
        <v>7</v>
      </c>
      <c r="K31" s="232">
        <v>1.5</v>
      </c>
      <c r="L31" s="232">
        <v>8</v>
      </c>
      <c r="M31" s="232">
        <v>1</v>
      </c>
      <c r="N31" s="232">
        <v>17</v>
      </c>
      <c r="O31" s="232">
        <v>1</v>
      </c>
      <c r="Q31" s="724" t="s">
        <v>90</v>
      </c>
      <c r="R31" s="724" t="s">
        <v>89</v>
      </c>
      <c r="S31" s="713"/>
      <c r="T31" s="713"/>
      <c r="U31" s="713"/>
      <c r="V31" s="713"/>
    </row>
    <row r="32" spans="1:22" x14ac:dyDescent="0.35">
      <c r="A32" s="232" t="s">
        <v>91</v>
      </c>
      <c r="B32" s="232" t="s">
        <v>89</v>
      </c>
      <c r="C32" s="232">
        <v>1.25</v>
      </c>
      <c r="D32" s="232">
        <v>2</v>
      </c>
      <c r="E32" s="232">
        <v>1.25</v>
      </c>
      <c r="F32" s="232">
        <v>5</v>
      </c>
      <c r="G32" s="232">
        <v>1.25</v>
      </c>
      <c r="H32" s="232">
        <v>6</v>
      </c>
      <c r="I32" s="232">
        <v>1</v>
      </c>
      <c r="J32" s="232">
        <v>7</v>
      </c>
      <c r="K32" s="232">
        <v>1.5</v>
      </c>
      <c r="L32" s="232">
        <v>8</v>
      </c>
      <c r="M32" s="232">
        <v>1</v>
      </c>
      <c r="N32" s="232">
        <v>18</v>
      </c>
      <c r="O32" s="232">
        <v>1</v>
      </c>
      <c r="Q32" s="724" t="s">
        <v>15</v>
      </c>
      <c r="R32" s="724">
        <v>2</v>
      </c>
      <c r="S32" s="719"/>
      <c r="T32" s="719"/>
      <c r="U32" s="719"/>
      <c r="V32" s="713"/>
    </row>
    <row r="33" spans="1:22" x14ac:dyDescent="0.35">
      <c r="A33" s="232" t="s">
        <v>92</v>
      </c>
      <c r="B33" s="232" t="s">
        <v>89</v>
      </c>
      <c r="C33" s="232">
        <v>1.25</v>
      </c>
      <c r="D33" s="232">
        <v>2</v>
      </c>
      <c r="E33" s="232">
        <v>1.25</v>
      </c>
      <c r="F33" s="232">
        <v>5</v>
      </c>
      <c r="G33" s="232">
        <v>1.25</v>
      </c>
      <c r="H33" s="232">
        <v>6</v>
      </c>
      <c r="I33" s="232">
        <v>1</v>
      </c>
      <c r="J33" s="232">
        <v>7</v>
      </c>
      <c r="K33" s="232">
        <v>1.5</v>
      </c>
      <c r="L33" s="232">
        <v>8</v>
      </c>
      <c r="M33" s="232">
        <v>1</v>
      </c>
      <c r="N33" s="232">
        <v>17</v>
      </c>
      <c r="O33" s="232">
        <v>-1</v>
      </c>
      <c r="Q33" s="724" t="s">
        <v>19</v>
      </c>
      <c r="R33" s="724">
        <v>3</v>
      </c>
      <c r="S33" s="713"/>
      <c r="T33" s="713"/>
      <c r="U33" s="713"/>
      <c r="V33" s="713"/>
    </row>
    <row r="34" spans="1:22" x14ac:dyDescent="0.35">
      <c r="A34" s="232" t="s">
        <v>93</v>
      </c>
      <c r="B34" s="232" t="s">
        <v>89</v>
      </c>
      <c r="C34" s="232">
        <v>1.25</v>
      </c>
      <c r="D34" s="232">
        <v>2</v>
      </c>
      <c r="E34" s="232">
        <v>1.25</v>
      </c>
      <c r="F34" s="232">
        <v>5</v>
      </c>
      <c r="G34" s="232">
        <v>1.25</v>
      </c>
      <c r="H34" s="232">
        <v>6</v>
      </c>
      <c r="I34" s="232">
        <v>1</v>
      </c>
      <c r="J34" s="232">
        <v>7</v>
      </c>
      <c r="K34" s="232">
        <v>1.5</v>
      </c>
      <c r="L34" s="232">
        <v>8</v>
      </c>
      <c r="M34" s="232">
        <v>1</v>
      </c>
      <c r="N34" s="232">
        <v>18</v>
      </c>
      <c r="O34" s="232">
        <v>-1</v>
      </c>
      <c r="Q34" s="724" t="s">
        <v>11</v>
      </c>
      <c r="R34" s="724">
        <v>4</v>
      </c>
      <c r="S34" s="719"/>
      <c r="T34" s="719"/>
      <c r="U34" s="719"/>
      <c r="V34" s="713"/>
    </row>
    <row r="35" spans="1:22" x14ac:dyDescent="0.35">
      <c r="A35" s="232" t="s">
        <v>94</v>
      </c>
      <c r="B35" s="232" t="s">
        <v>89</v>
      </c>
      <c r="C35" s="232">
        <v>1.25</v>
      </c>
      <c r="D35" s="232">
        <v>2</v>
      </c>
      <c r="E35" s="232">
        <v>1.25</v>
      </c>
      <c r="F35" s="232">
        <v>5</v>
      </c>
      <c r="G35" s="232">
        <v>1.25</v>
      </c>
      <c r="H35" s="232">
        <v>6</v>
      </c>
      <c r="I35" s="232">
        <v>1</v>
      </c>
      <c r="J35" s="232">
        <v>7</v>
      </c>
      <c r="K35" s="232">
        <v>1</v>
      </c>
      <c r="L35" s="232">
        <v>8</v>
      </c>
      <c r="M35" s="232">
        <v>1.5</v>
      </c>
      <c r="N35" s="232">
        <v>17</v>
      </c>
      <c r="O35" s="232">
        <v>1</v>
      </c>
      <c r="Q35" s="724" t="s">
        <v>95</v>
      </c>
      <c r="R35" s="724">
        <v>5</v>
      </c>
      <c r="S35" s="713"/>
      <c r="T35" s="713"/>
      <c r="U35" s="713"/>
      <c r="V35" s="713"/>
    </row>
    <row r="36" spans="1:22" x14ac:dyDescent="0.35">
      <c r="A36" s="232" t="s">
        <v>96</v>
      </c>
      <c r="B36" s="232" t="s">
        <v>89</v>
      </c>
      <c r="C36" s="232">
        <v>1.25</v>
      </c>
      <c r="D36" s="232">
        <v>2</v>
      </c>
      <c r="E36" s="232">
        <v>1.25</v>
      </c>
      <c r="F36" s="232">
        <v>5</v>
      </c>
      <c r="G36" s="232">
        <v>1.25</v>
      </c>
      <c r="H36" s="232">
        <v>6</v>
      </c>
      <c r="I36" s="232">
        <v>1</v>
      </c>
      <c r="J36" s="232">
        <v>7</v>
      </c>
      <c r="K36" s="232">
        <v>1</v>
      </c>
      <c r="L36" s="232">
        <v>8</v>
      </c>
      <c r="M36" s="232">
        <v>1.5</v>
      </c>
      <c r="N36" s="232">
        <v>18</v>
      </c>
      <c r="O36" s="232">
        <v>1</v>
      </c>
      <c r="Q36" s="724" t="s">
        <v>47</v>
      </c>
      <c r="R36" s="724">
        <v>6</v>
      </c>
      <c r="S36" s="719"/>
      <c r="T36" s="719"/>
      <c r="U36" s="719"/>
      <c r="V36" s="713"/>
    </row>
    <row r="37" spans="1:22" x14ac:dyDescent="0.35">
      <c r="A37" s="232" t="s">
        <v>97</v>
      </c>
      <c r="B37" s="232" t="s">
        <v>89</v>
      </c>
      <c r="C37" s="232">
        <v>1.25</v>
      </c>
      <c r="D37" s="232">
        <v>2</v>
      </c>
      <c r="E37" s="232">
        <v>1.25</v>
      </c>
      <c r="F37" s="232">
        <v>5</v>
      </c>
      <c r="G37" s="232">
        <v>1.25</v>
      </c>
      <c r="H37" s="232">
        <v>6</v>
      </c>
      <c r="I37" s="232">
        <v>1</v>
      </c>
      <c r="J37" s="232">
        <v>7</v>
      </c>
      <c r="K37" s="232">
        <v>1</v>
      </c>
      <c r="L37" s="232">
        <v>8</v>
      </c>
      <c r="M37" s="232">
        <v>1.5</v>
      </c>
      <c r="N37" s="232">
        <v>17</v>
      </c>
      <c r="O37" s="232">
        <v>-1</v>
      </c>
      <c r="Q37" s="724" t="s">
        <v>98</v>
      </c>
      <c r="R37" s="724">
        <v>7</v>
      </c>
      <c r="S37" s="713"/>
      <c r="T37" s="713"/>
      <c r="U37" s="713"/>
      <c r="V37" s="713"/>
    </row>
    <row r="38" spans="1:22" x14ac:dyDescent="0.35">
      <c r="A38" s="232" t="s">
        <v>99</v>
      </c>
      <c r="B38" s="232" t="s">
        <v>89</v>
      </c>
      <c r="C38" s="232">
        <v>1.25</v>
      </c>
      <c r="D38" s="232">
        <v>2</v>
      </c>
      <c r="E38" s="232">
        <v>1.25</v>
      </c>
      <c r="F38" s="232">
        <v>5</v>
      </c>
      <c r="G38" s="232">
        <v>1.25</v>
      </c>
      <c r="H38" s="232">
        <v>6</v>
      </c>
      <c r="I38" s="232">
        <v>1</v>
      </c>
      <c r="J38" s="232">
        <v>7</v>
      </c>
      <c r="K38" s="232">
        <v>1</v>
      </c>
      <c r="L38" s="232">
        <v>8</v>
      </c>
      <c r="M38" s="232">
        <v>1.5</v>
      </c>
      <c r="N38" s="232">
        <v>18</v>
      </c>
      <c r="O38" s="232">
        <v>-1</v>
      </c>
      <c r="Q38" s="724" t="s">
        <v>63</v>
      </c>
      <c r="R38" s="724">
        <v>8</v>
      </c>
      <c r="S38" s="719"/>
      <c r="T38" s="719"/>
      <c r="U38" s="719"/>
      <c r="V38" s="713"/>
    </row>
    <row r="39" spans="1:22" x14ac:dyDescent="0.35">
      <c r="A39" s="232" t="s">
        <v>100</v>
      </c>
      <c r="B39" s="232" t="s">
        <v>89</v>
      </c>
      <c r="C39" s="232">
        <v>1.25</v>
      </c>
      <c r="D39" s="232">
        <v>2</v>
      </c>
      <c r="E39" s="232">
        <v>1.25</v>
      </c>
      <c r="F39" s="232">
        <v>5</v>
      </c>
      <c r="G39" s="232">
        <v>1.25</v>
      </c>
      <c r="H39" s="232">
        <v>6</v>
      </c>
      <c r="I39" s="232">
        <v>1.25</v>
      </c>
      <c r="J39" s="232">
        <v>7</v>
      </c>
      <c r="K39" s="232">
        <v>0.5</v>
      </c>
      <c r="L39" s="232">
        <v>8</v>
      </c>
      <c r="M39" s="232">
        <v>0.5</v>
      </c>
      <c r="N39" s="232">
        <v>17</v>
      </c>
      <c r="O39" s="232">
        <v>1</v>
      </c>
      <c r="Q39" s="724" t="s">
        <v>101</v>
      </c>
      <c r="R39" s="724">
        <v>9</v>
      </c>
      <c r="S39" s="713"/>
      <c r="T39" s="713"/>
      <c r="U39" s="713"/>
      <c r="V39" s="713"/>
    </row>
    <row r="40" spans="1:22" x14ac:dyDescent="0.35">
      <c r="A40" s="232" t="s">
        <v>102</v>
      </c>
      <c r="B40" s="232" t="s">
        <v>89</v>
      </c>
      <c r="C40" s="232">
        <v>1.25</v>
      </c>
      <c r="D40" s="232">
        <v>2</v>
      </c>
      <c r="E40" s="232">
        <v>1.25</v>
      </c>
      <c r="F40" s="232">
        <v>5</v>
      </c>
      <c r="G40" s="232">
        <v>1.25</v>
      </c>
      <c r="H40" s="232">
        <v>6</v>
      </c>
      <c r="I40" s="232">
        <v>1.25</v>
      </c>
      <c r="J40" s="232">
        <v>7</v>
      </c>
      <c r="K40" s="232">
        <v>0.5</v>
      </c>
      <c r="L40" s="232">
        <v>8</v>
      </c>
      <c r="M40" s="232">
        <v>0.5</v>
      </c>
      <c r="N40" s="232">
        <v>18</v>
      </c>
      <c r="O40" s="232">
        <v>1</v>
      </c>
      <c r="Q40" s="724" t="s">
        <v>103</v>
      </c>
      <c r="R40" s="724">
        <v>10</v>
      </c>
      <c r="S40" s="719"/>
      <c r="T40" s="719"/>
      <c r="U40" s="719"/>
      <c r="V40" s="713"/>
    </row>
    <row r="41" spans="1:22" x14ac:dyDescent="0.35">
      <c r="A41" s="232" t="s">
        <v>104</v>
      </c>
      <c r="B41" s="232" t="s">
        <v>89</v>
      </c>
      <c r="C41" s="232">
        <v>1.25</v>
      </c>
      <c r="D41" s="232">
        <v>2</v>
      </c>
      <c r="E41" s="232">
        <v>1.25</v>
      </c>
      <c r="F41" s="232">
        <v>5</v>
      </c>
      <c r="G41" s="232">
        <v>1.25</v>
      </c>
      <c r="H41" s="232">
        <v>6</v>
      </c>
      <c r="I41" s="232">
        <v>1.25</v>
      </c>
      <c r="J41" s="232">
        <v>7</v>
      </c>
      <c r="K41" s="232">
        <v>0.5</v>
      </c>
      <c r="L41" s="232">
        <v>8</v>
      </c>
      <c r="M41" s="232">
        <v>0.5</v>
      </c>
      <c r="N41" s="232">
        <v>17</v>
      </c>
      <c r="O41" s="232">
        <v>-1</v>
      </c>
      <c r="Q41" s="724" t="s">
        <v>105</v>
      </c>
      <c r="R41" s="724">
        <v>11</v>
      </c>
      <c r="S41" s="713"/>
      <c r="T41" s="713"/>
      <c r="U41" s="713"/>
      <c r="V41" s="713"/>
    </row>
    <row r="42" spans="1:22" x14ac:dyDescent="0.35">
      <c r="A42" s="232" t="s">
        <v>106</v>
      </c>
      <c r="B42" s="232" t="s">
        <v>89</v>
      </c>
      <c r="C42" s="232">
        <v>1.25</v>
      </c>
      <c r="D42" s="232">
        <v>2</v>
      </c>
      <c r="E42" s="232">
        <v>1.25</v>
      </c>
      <c r="F42" s="232">
        <v>5</v>
      </c>
      <c r="G42" s="232">
        <v>1.25</v>
      </c>
      <c r="H42" s="232">
        <v>6</v>
      </c>
      <c r="I42" s="232">
        <v>1.25</v>
      </c>
      <c r="J42" s="232">
        <v>7</v>
      </c>
      <c r="K42" s="232">
        <v>0.5</v>
      </c>
      <c r="L42" s="232">
        <v>8</v>
      </c>
      <c r="M42" s="232">
        <v>0.5</v>
      </c>
      <c r="N42" s="232">
        <v>18</v>
      </c>
      <c r="O42" s="232">
        <v>-1</v>
      </c>
      <c r="Q42" s="724" t="s">
        <v>107</v>
      </c>
      <c r="R42" s="724">
        <v>12</v>
      </c>
      <c r="S42" s="719"/>
      <c r="T42" s="719"/>
      <c r="U42" s="719"/>
      <c r="V42" s="713"/>
    </row>
    <row r="43" spans="1:22" x14ac:dyDescent="0.35">
      <c r="Q43" s="724" t="s">
        <v>108</v>
      </c>
      <c r="R43" s="724">
        <v>13</v>
      </c>
      <c r="S43" s="713"/>
      <c r="T43" s="713"/>
      <c r="U43" s="713"/>
      <c r="V43" s="713"/>
    </row>
    <row r="44" spans="1:22" x14ac:dyDescent="0.35">
      <c r="Q44" s="724" t="s">
        <v>109</v>
      </c>
      <c r="R44" s="724">
        <v>14</v>
      </c>
      <c r="S44" s="719"/>
      <c r="T44" s="719"/>
      <c r="U44" s="719"/>
      <c r="V44" s="713"/>
    </row>
    <row r="45" spans="1:22" ht="15" customHeight="1" thickBot="1" x14ac:dyDescent="0.4">
      <c r="Q45" s="724" t="s">
        <v>110</v>
      </c>
      <c r="R45" s="724">
        <v>15</v>
      </c>
      <c r="S45" s="713"/>
      <c r="T45" s="713"/>
      <c r="U45" s="713"/>
      <c r="V45" s="713"/>
    </row>
    <row r="46" spans="1:22" x14ac:dyDescent="0.35">
      <c r="A46" s="725" t="s">
        <v>111</v>
      </c>
      <c r="B46" s="726" t="s">
        <v>85</v>
      </c>
      <c r="C46" s="721" t="s">
        <v>86</v>
      </c>
      <c r="D46" s="721" t="s">
        <v>85</v>
      </c>
      <c r="E46" s="721" t="s">
        <v>86</v>
      </c>
      <c r="F46" s="721" t="s">
        <v>85</v>
      </c>
      <c r="G46" s="721" t="s">
        <v>86</v>
      </c>
      <c r="H46" s="721" t="s">
        <v>85</v>
      </c>
      <c r="I46" s="721" t="s">
        <v>86</v>
      </c>
      <c r="J46" s="721" t="s">
        <v>85</v>
      </c>
      <c r="K46" s="721" t="s">
        <v>86</v>
      </c>
      <c r="L46" s="721" t="s">
        <v>85</v>
      </c>
      <c r="M46" s="721" t="s">
        <v>86</v>
      </c>
      <c r="N46" s="721" t="s">
        <v>85</v>
      </c>
      <c r="O46" s="722" t="s">
        <v>86</v>
      </c>
      <c r="Q46" s="724" t="s">
        <v>112</v>
      </c>
      <c r="R46" s="724">
        <v>16</v>
      </c>
      <c r="S46" s="713"/>
      <c r="T46" s="713"/>
      <c r="U46" s="713"/>
      <c r="V46" s="713"/>
    </row>
    <row r="47" spans="1:22" x14ac:dyDescent="0.35">
      <c r="A47" s="232" t="s">
        <v>113</v>
      </c>
      <c r="B47" s="232" t="s">
        <v>89</v>
      </c>
      <c r="C47" s="232">
        <v>1.4</v>
      </c>
      <c r="D47" s="232">
        <v>2</v>
      </c>
      <c r="E47" s="232">
        <v>1.4</v>
      </c>
      <c r="F47" s="232">
        <v>5</v>
      </c>
      <c r="G47" s="232">
        <v>1.25</v>
      </c>
      <c r="H47" s="232">
        <v>17</v>
      </c>
      <c r="I47" s="232">
        <v>1</v>
      </c>
      <c r="J47" s="232"/>
      <c r="K47" s="232"/>
      <c r="L47" s="232"/>
      <c r="M47" s="621"/>
      <c r="N47" s="621"/>
      <c r="O47" s="621"/>
      <c r="Q47" s="724" t="s">
        <v>114</v>
      </c>
      <c r="R47" s="724">
        <v>17</v>
      </c>
      <c r="S47" s="713"/>
      <c r="T47" s="713"/>
      <c r="U47" s="713"/>
      <c r="V47" s="713"/>
    </row>
    <row r="48" spans="1:22" x14ac:dyDescent="0.35">
      <c r="A48" s="232" t="s">
        <v>115</v>
      </c>
      <c r="B48" s="232" t="s">
        <v>89</v>
      </c>
      <c r="C48" s="232">
        <v>1.4</v>
      </c>
      <c r="D48" s="232">
        <v>2</v>
      </c>
      <c r="E48" s="232">
        <v>1.4</v>
      </c>
      <c r="F48" s="232">
        <v>5</v>
      </c>
      <c r="G48" s="232">
        <v>1.25</v>
      </c>
      <c r="H48" s="232">
        <v>18</v>
      </c>
      <c r="I48" s="232">
        <v>1</v>
      </c>
      <c r="J48" s="232"/>
      <c r="K48" s="232"/>
      <c r="L48" s="232"/>
      <c r="M48" s="621"/>
      <c r="N48" s="621"/>
      <c r="O48" s="621"/>
      <c r="Q48" s="724" t="s">
        <v>116</v>
      </c>
      <c r="R48" s="724">
        <v>18</v>
      </c>
      <c r="S48" s="713"/>
      <c r="T48" s="713"/>
      <c r="U48" s="713"/>
      <c r="V48" s="713"/>
    </row>
    <row r="49" spans="1:22" x14ac:dyDescent="0.35">
      <c r="A49" s="232" t="s">
        <v>117</v>
      </c>
      <c r="B49" s="232" t="s">
        <v>89</v>
      </c>
      <c r="C49" s="232">
        <v>1.4</v>
      </c>
      <c r="D49" s="232">
        <v>2</v>
      </c>
      <c r="E49" s="232">
        <v>1.4</v>
      </c>
      <c r="F49" s="232">
        <v>5</v>
      </c>
      <c r="G49" s="232">
        <v>-1.25</v>
      </c>
      <c r="H49" s="232">
        <v>17</v>
      </c>
      <c r="I49" s="232">
        <v>-1</v>
      </c>
      <c r="J49" s="232"/>
      <c r="K49" s="232"/>
      <c r="L49" s="232"/>
      <c r="M49" s="621"/>
      <c r="N49" s="621"/>
      <c r="O49" s="621"/>
      <c r="P49" s="727"/>
      <c r="Q49" s="724" t="s">
        <v>118</v>
      </c>
      <c r="R49" s="724">
        <v>23</v>
      </c>
      <c r="S49" s="728"/>
      <c r="T49" s="710"/>
      <c r="U49" s="729"/>
      <c r="V49" s="730"/>
    </row>
    <row r="50" spans="1:22" x14ac:dyDescent="0.35">
      <c r="A50" s="232" t="s">
        <v>119</v>
      </c>
      <c r="B50" s="232" t="s">
        <v>89</v>
      </c>
      <c r="C50" s="232">
        <v>1.4</v>
      </c>
      <c r="D50" s="232">
        <v>2</v>
      </c>
      <c r="E50" s="232">
        <v>1.4</v>
      </c>
      <c r="F50" s="232">
        <v>5</v>
      </c>
      <c r="G50" s="232">
        <v>-1.25</v>
      </c>
      <c r="H50" s="232">
        <v>18</v>
      </c>
      <c r="I50" s="232">
        <v>-1</v>
      </c>
      <c r="J50" s="232"/>
      <c r="K50" s="232"/>
      <c r="L50" s="232"/>
      <c r="M50" s="621"/>
      <c r="N50" s="621"/>
      <c r="O50" s="621"/>
      <c r="Q50" s="724" t="s">
        <v>120</v>
      </c>
      <c r="R50" s="724">
        <v>24</v>
      </c>
      <c r="S50" s="728"/>
      <c r="T50" s="710"/>
    </row>
    <row r="51" spans="1:22" x14ac:dyDescent="0.35">
      <c r="A51" s="232" t="s">
        <v>88</v>
      </c>
      <c r="B51" s="232" t="s">
        <v>89</v>
      </c>
      <c r="C51" s="232">
        <v>1.25</v>
      </c>
      <c r="D51" s="232">
        <v>2</v>
      </c>
      <c r="E51" s="232">
        <v>1.25</v>
      </c>
      <c r="F51" s="232">
        <v>5</v>
      </c>
      <c r="G51" s="232">
        <v>1.25</v>
      </c>
      <c r="H51" s="232">
        <v>6</v>
      </c>
      <c r="I51" s="232">
        <v>0.5</v>
      </c>
      <c r="J51" s="232">
        <v>7</v>
      </c>
      <c r="K51" s="232">
        <v>1.5</v>
      </c>
      <c r="L51" s="232">
        <v>8</v>
      </c>
      <c r="M51" s="621">
        <v>1</v>
      </c>
      <c r="N51" s="621">
        <v>17</v>
      </c>
      <c r="O51" s="621">
        <v>1</v>
      </c>
      <c r="Q51" s="724" t="s">
        <v>121</v>
      </c>
      <c r="R51" s="724">
        <v>25</v>
      </c>
      <c r="S51" s="731"/>
      <c r="T51" s="730"/>
    </row>
    <row r="52" spans="1:22" x14ac:dyDescent="0.35">
      <c r="A52" s="232" t="s">
        <v>91</v>
      </c>
      <c r="B52" s="232" t="s">
        <v>89</v>
      </c>
      <c r="C52" s="232">
        <v>1.25</v>
      </c>
      <c r="D52" s="232">
        <v>2</v>
      </c>
      <c r="E52" s="232">
        <v>1.25</v>
      </c>
      <c r="F52" s="232">
        <v>5</v>
      </c>
      <c r="G52" s="232">
        <v>1.25</v>
      </c>
      <c r="H52" s="232">
        <v>6</v>
      </c>
      <c r="I52" s="232">
        <v>0.5</v>
      </c>
      <c r="J52" s="232">
        <v>7</v>
      </c>
      <c r="K52" s="232">
        <v>1.5</v>
      </c>
      <c r="L52" s="232">
        <v>8</v>
      </c>
      <c r="M52" s="621">
        <v>1</v>
      </c>
      <c r="N52" s="621">
        <v>18</v>
      </c>
      <c r="O52" s="621">
        <v>1</v>
      </c>
      <c r="Q52" s="724" t="s">
        <v>122</v>
      </c>
      <c r="R52" s="724">
        <v>26</v>
      </c>
    </row>
    <row r="53" spans="1:22" x14ac:dyDescent="0.35">
      <c r="A53" s="232" t="s">
        <v>92</v>
      </c>
      <c r="B53" s="232" t="s">
        <v>89</v>
      </c>
      <c r="C53" s="232">
        <v>1.25</v>
      </c>
      <c r="D53" s="232">
        <v>2</v>
      </c>
      <c r="E53" s="232">
        <v>1.25</v>
      </c>
      <c r="F53" s="232">
        <v>5</v>
      </c>
      <c r="G53" s="232">
        <v>-1.25</v>
      </c>
      <c r="H53" s="232">
        <v>6</v>
      </c>
      <c r="I53" s="232">
        <v>-0.5</v>
      </c>
      <c r="J53" s="232">
        <v>7</v>
      </c>
      <c r="K53" s="232">
        <v>1.5</v>
      </c>
      <c r="L53" s="232">
        <v>8</v>
      </c>
      <c r="M53" s="621">
        <v>1</v>
      </c>
      <c r="N53" s="621">
        <v>17</v>
      </c>
      <c r="O53" s="621">
        <v>-1</v>
      </c>
      <c r="Q53" s="724" t="s">
        <v>123</v>
      </c>
      <c r="R53" s="724">
        <v>27</v>
      </c>
    </row>
    <row r="54" spans="1:22" x14ac:dyDescent="0.35">
      <c r="A54" s="232" t="s">
        <v>93</v>
      </c>
      <c r="B54" s="232" t="s">
        <v>89</v>
      </c>
      <c r="C54" s="232">
        <v>1.25</v>
      </c>
      <c r="D54" s="232">
        <v>2</v>
      </c>
      <c r="E54" s="232">
        <v>1.25</v>
      </c>
      <c r="F54" s="232">
        <v>5</v>
      </c>
      <c r="G54" s="232">
        <v>-1.25</v>
      </c>
      <c r="H54" s="232">
        <v>6</v>
      </c>
      <c r="I54" s="232">
        <v>-0.5</v>
      </c>
      <c r="J54" s="232">
        <v>7</v>
      </c>
      <c r="K54" s="232">
        <v>1.5</v>
      </c>
      <c r="L54" s="232">
        <v>8</v>
      </c>
      <c r="M54" s="621">
        <v>1</v>
      </c>
      <c r="N54" s="621">
        <v>18</v>
      </c>
      <c r="O54" s="621">
        <v>-1</v>
      </c>
      <c r="Q54" s="724" t="s">
        <v>124</v>
      </c>
      <c r="R54" s="724">
        <v>19</v>
      </c>
    </row>
    <row r="55" spans="1:22" x14ac:dyDescent="0.35">
      <c r="A55" s="232" t="s">
        <v>125</v>
      </c>
      <c r="B55" s="232" t="s">
        <v>89</v>
      </c>
      <c r="C55" s="232">
        <v>1.25</v>
      </c>
      <c r="D55" s="232">
        <v>2</v>
      </c>
      <c r="E55" s="232">
        <v>1.25</v>
      </c>
      <c r="F55" s="232">
        <v>5</v>
      </c>
      <c r="G55" s="232">
        <v>1.25</v>
      </c>
      <c r="H55" s="232">
        <v>6</v>
      </c>
      <c r="I55" s="232">
        <v>0.5</v>
      </c>
      <c r="J55" s="232">
        <v>7</v>
      </c>
      <c r="K55" s="232">
        <v>1</v>
      </c>
      <c r="L55" s="232">
        <v>8</v>
      </c>
      <c r="M55" s="621">
        <v>1.5</v>
      </c>
      <c r="N55" s="621">
        <v>17</v>
      </c>
      <c r="O55" s="621">
        <v>1</v>
      </c>
      <c r="Q55" s="724" t="s">
        <v>126</v>
      </c>
      <c r="R55" s="724">
        <v>20</v>
      </c>
    </row>
    <row r="56" spans="1:22" x14ac:dyDescent="0.35">
      <c r="A56" s="232" t="s">
        <v>127</v>
      </c>
      <c r="B56" s="232" t="s">
        <v>89</v>
      </c>
      <c r="C56" s="232">
        <v>1.25</v>
      </c>
      <c r="D56" s="232">
        <v>2</v>
      </c>
      <c r="E56" s="232">
        <v>1.25</v>
      </c>
      <c r="F56" s="232">
        <v>5</v>
      </c>
      <c r="G56" s="232">
        <v>1.25</v>
      </c>
      <c r="H56" s="232">
        <v>6</v>
      </c>
      <c r="I56" s="232">
        <v>0.5</v>
      </c>
      <c r="J56" s="232">
        <v>7</v>
      </c>
      <c r="K56" s="232">
        <v>1</v>
      </c>
      <c r="L56" s="232">
        <v>8</v>
      </c>
      <c r="M56" s="621">
        <v>1.5</v>
      </c>
      <c r="N56" s="621">
        <v>18</v>
      </c>
      <c r="O56" s="621">
        <v>1</v>
      </c>
      <c r="Q56" s="724" t="s">
        <v>128</v>
      </c>
      <c r="R56" s="724">
        <v>21</v>
      </c>
    </row>
    <row r="57" spans="1:22" x14ac:dyDescent="0.35">
      <c r="A57" s="232" t="s">
        <v>129</v>
      </c>
      <c r="B57" s="232" t="s">
        <v>89</v>
      </c>
      <c r="C57" s="232">
        <v>1.25</v>
      </c>
      <c r="D57" s="232">
        <v>2</v>
      </c>
      <c r="E57" s="232">
        <v>1.25</v>
      </c>
      <c r="F57" s="232">
        <v>5</v>
      </c>
      <c r="G57" s="232">
        <v>-1.25</v>
      </c>
      <c r="H57" s="232">
        <v>6</v>
      </c>
      <c r="I57" s="232">
        <v>-0.5</v>
      </c>
      <c r="J57" s="232">
        <v>7</v>
      </c>
      <c r="K57" s="232">
        <v>1</v>
      </c>
      <c r="L57" s="232">
        <v>8</v>
      </c>
      <c r="M57" s="621">
        <v>1.5</v>
      </c>
      <c r="N57" s="621">
        <v>17</v>
      </c>
      <c r="O57" s="621">
        <v>-1</v>
      </c>
      <c r="Q57" s="724" t="s">
        <v>130</v>
      </c>
      <c r="R57" s="724">
        <v>22</v>
      </c>
    </row>
    <row r="58" spans="1:22" x14ac:dyDescent="0.35">
      <c r="A58" s="232" t="s">
        <v>131</v>
      </c>
      <c r="B58" s="232" t="s">
        <v>89</v>
      </c>
      <c r="C58" s="232">
        <v>1.25</v>
      </c>
      <c r="D58" s="232">
        <v>2</v>
      </c>
      <c r="E58" s="232">
        <v>1.25</v>
      </c>
      <c r="F58" s="232">
        <v>5</v>
      </c>
      <c r="G58" s="232">
        <v>-1.25</v>
      </c>
      <c r="H58" s="232">
        <v>6</v>
      </c>
      <c r="I58" s="232">
        <v>-0.5</v>
      </c>
      <c r="J58" s="232">
        <v>7</v>
      </c>
      <c r="K58" s="232">
        <v>1</v>
      </c>
      <c r="L58" s="232">
        <v>8</v>
      </c>
      <c r="M58" s="621">
        <v>1.5</v>
      </c>
      <c r="N58" s="621">
        <v>18</v>
      </c>
      <c r="O58" s="621">
        <v>-1</v>
      </c>
      <c r="Q58" s="238"/>
      <c r="R58" s="238"/>
    </row>
    <row r="59" spans="1:22" x14ac:dyDescent="0.35">
      <c r="A59" s="232" t="s">
        <v>132</v>
      </c>
      <c r="B59" s="232" t="s">
        <v>89</v>
      </c>
      <c r="C59" s="621">
        <v>1.25</v>
      </c>
      <c r="D59" s="621">
        <v>2</v>
      </c>
      <c r="E59" s="621">
        <v>1.25</v>
      </c>
      <c r="F59" s="621">
        <v>5</v>
      </c>
      <c r="G59" s="621">
        <v>1.25</v>
      </c>
      <c r="H59" s="621">
        <v>8</v>
      </c>
      <c r="I59" s="621">
        <v>1.5</v>
      </c>
      <c r="J59" s="621">
        <v>9</v>
      </c>
      <c r="K59" s="621">
        <v>0.4</v>
      </c>
      <c r="L59" s="621">
        <v>25</v>
      </c>
      <c r="M59" s="621">
        <v>0.4</v>
      </c>
      <c r="N59" s="621"/>
      <c r="O59" s="621"/>
    </row>
    <row r="60" spans="1:22" x14ac:dyDescent="0.35">
      <c r="A60" s="232" t="s">
        <v>133</v>
      </c>
      <c r="B60" s="232" t="s">
        <v>89</v>
      </c>
      <c r="C60" s="621">
        <v>1.25</v>
      </c>
      <c r="D60" s="621">
        <v>2</v>
      </c>
      <c r="E60" s="621">
        <v>1.25</v>
      </c>
      <c r="F60" s="621">
        <v>5</v>
      </c>
      <c r="G60" s="621">
        <v>1.25</v>
      </c>
      <c r="H60" s="621">
        <v>8</v>
      </c>
      <c r="I60" s="621">
        <v>1.5</v>
      </c>
      <c r="J60" s="621">
        <v>10</v>
      </c>
      <c r="K60" s="621">
        <v>0.4</v>
      </c>
      <c r="L60" s="621">
        <v>25</v>
      </c>
      <c r="M60" s="621">
        <v>0.4</v>
      </c>
      <c r="N60" s="621"/>
      <c r="O60" s="621"/>
    </row>
    <row r="61" spans="1:22" x14ac:dyDescent="0.35">
      <c r="A61" s="232" t="s">
        <v>134</v>
      </c>
      <c r="B61" s="230" t="s">
        <v>89</v>
      </c>
      <c r="C61" s="652">
        <v>1.25</v>
      </c>
      <c r="D61" s="652">
        <v>2</v>
      </c>
      <c r="E61" s="652">
        <v>1.25</v>
      </c>
      <c r="F61" s="652">
        <v>5</v>
      </c>
      <c r="G61" s="652">
        <v>-1.25</v>
      </c>
      <c r="H61" s="652">
        <v>8</v>
      </c>
      <c r="I61" s="652">
        <v>1.5</v>
      </c>
      <c r="J61" s="652">
        <v>9</v>
      </c>
      <c r="K61" s="652">
        <v>-0.4</v>
      </c>
      <c r="L61" s="652">
        <v>25</v>
      </c>
      <c r="M61" s="621">
        <v>0.4</v>
      </c>
      <c r="N61" s="621"/>
      <c r="O61" s="621"/>
    </row>
    <row r="62" spans="1:22" x14ac:dyDescent="0.35">
      <c r="A62" s="232" t="s">
        <v>135</v>
      </c>
      <c r="B62" s="230" t="s">
        <v>89</v>
      </c>
      <c r="C62" s="652">
        <v>1.25</v>
      </c>
      <c r="D62" s="652">
        <v>2</v>
      </c>
      <c r="E62" s="652">
        <v>1.25</v>
      </c>
      <c r="F62" s="652">
        <v>5</v>
      </c>
      <c r="G62" s="652">
        <v>-1.25</v>
      </c>
      <c r="H62" s="652">
        <v>8</v>
      </c>
      <c r="I62" s="652">
        <v>1.5</v>
      </c>
      <c r="J62" s="652">
        <v>10</v>
      </c>
      <c r="K62" s="653">
        <v>-0.4</v>
      </c>
      <c r="L62" s="621">
        <v>25</v>
      </c>
      <c r="M62" s="621">
        <v>0.4</v>
      </c>
      <c r="N62" s="621"/>
      <c r="O62" s="621"/>
    </row>
    <row r="63" spans="1:22" x14ac:dyDescent="0.35">
      <c r="A63" s="232" t="s">
        <v>136</v>
      </c>
      <c r="B63" s="230" t="s">
        <v>89</v>
      </c>
      <c r="C63" s="652">
        <v>1.25</v>
      </c>
      <c r="D63" s="652">
        <v>2</v>
      </c>
      <c r="E63" s="652">
        <v>1.25</v>
      </c>
      <c r="F63" s="652">
        <v>5</v>
      </c>
      <c r="G63" s="652">
        <v>1.25</v>
      </c>
      <c r="H63" s="652">
        <v>8</v>
      </c>
      <c r="I63" s="652">
        <v>1.5</v>
      </c>
      <c r="J63" s="652">
        <v>23</v>
      </c>
      <c r="K63" s="653">
        <v>0.4</v>
      </c>
      <c r="L63" s="621">
        <v>25</v>
      </c>
      <c r="M63" s="621">
        <v>0.4</v>
      </c>
      <c r="N63" s="621"/>
      <c r="O63" s="621"/>
    </row>
    <row r="64" spans="1:22" x14ac:dyDescent="0.35">
      <c r="A64" s="232" t="s">
        <v>137</v>
      </c>
      <c r="B64" s="230" t="s">
        <v>89</v>
      </c>
      <c r="C64" s="652">
        <v>1.25</v>
      </c>
      <c r="D64" s="652">
        <v>2</v>
      </c>
      <c r="E64" s="652">
        <v>1.25</v>
      </c>
      <c r="F64" s="652">
        <v>5</v>
      </c>
      <c r="G64" s="652">
        <v>1.25</v>
      </c>
      <c r="H64" s="652">
        <v>8</v>
      </c>
      <c r="I64" s="652">
        <v>1.5</v>
      </c>
      <c r="J64" s="652">
        <v>24</v>
      </c>
      <c r="K64" s="653">
        <v>0.4</v>
      </c>
      <c r="L64" s="621">
        <v>25</v>
      </c>
      <c r="M64" s="621">
        <v>0.4</v>
      </c>
      <c r="N64" s="621"/>
      <c r="O64" s="621"/>
    </row>
    <row r="65" spans="1:15" x14ac:dyDescent="0.35">
      <c r="A65" s="232" t="s">
        <v>138</v>
      </c>
      <c r="B65" s="230" t="s">
        <v>89</v>
      </c>
      <c r="C65" s="652">
        <v>1.25</v>
      </c>
      <c r="D65" s="652">
        <v>2</v>
      </c>
      <c r="E65" s="652">
        <v>1.25</v>
      </c>
      <c r="F65" s="652">
        <v>5</v>
      </c>
      <c r="G65" s="652">
        <v>-1.25</v>
      </c>
      <c r="H65" s="652">
        <v>8</v>
      </c>
      <c r="I65" s="652">
        <v>1.5</v>
      </c>
      <c r="J65" s="652">
        <v>23</v>
      </c>
      <c r="K65" s="653">
        <v>-0.4</v>
      </c>
      <c r="L65" s="621">
        <v>25</v>
      </c>
      <c r="M65" s="621">
        <v>0.4</v>
      </c>
      <c r="N65" s="621"/>
      <c r="O65" s="621"/>
    </row>
    <row r="66" spans="1:15" x14ac:dyDescent="0.35">
      <c r="A66" s="232" t="s">
        <v>139</v>
      </c>
      <c r="B66" s="230" t="s">
        <v>89</v>
      </c>
      <c r="C66" s="652">
        <v>1.25</v>
      </c>
      <c r="D66" s="652">
        <v>2</v>
      </c>
      <c r="E66" s="652">
        <v>1.25</v>
      </c>
      <c r="F66" s="652">
        <v>5</v>
      </c>
      <c r="G66" s="652">
        <v>-1.25</v>
      </c>
      <c r="H66" s="652">
        <v>8</v>
      </c>
      <c r="I66" s="652">
        <v>1.5</v>
      </c>
      <c r="J66" s="652">
        <v>24</v>
      </c>
      <c r="K66" s="653">
        <v>-0.4</v>
      </c>
      <c r="L66" s="621">
        <v>25</v>
      </c>
      <c r="M66" s="621">
        <v>0.4</v>
      </c>
      <c r="N66" s="621"/>
      <c r="O66" s="621"/>
    </row>
    <row r="67" spans="1:15" x14ac:dyDescent="0.35">
      <c r="A67" s="232" t="s">
        <v>140</v>
      </c>
      <c r="B67" s="230" t="s">
        <v>89</v>
      </c>
      <c r="C67" s="652">
        <v>1.25</v>
      </c>
      <c r="D67" s="652">
        <v>2</v>
      </c>
      <c r="E67" s="652">
        <v>1.25</v>
      </c>
      <c r="F67" s="652">
        <v>5</v>
      </c>
      <c r="G67" s="652">
        <v>1.25</v>
      </c>
      <c r="H67" s="652">
        <v>8</v>
      </c>
      <c r="I67" s="652">
        <v>1.5</v>
      </c>
      <c r="J67" s="652">
        <v>9</v>
      </c>
      <c r="K67" s="653">
        <v>0.4</v>
      </c>
      <c r="L67" s="621">
        <v>25</v>
      </c>
      <c r="M67" s="621">
        <v>-0.4</v>
      </c>
      <c r="N67" s="621"/>
      <c r="O67" s="621"/>
    </row>
    <row r="68" spans="1:15" x14ac:dyDescent="0.35">
      <c r="A68" s="232" t="s">
        <v>141</v>
      </c>
      <c r="B68" s="230" t="s">
        <v>89</v>
      </c>
      <c r="C68" s="652">
        <v>1.25</v>
      </c>
      <c r="D68" s="652">
        <v>2</v>
      </c>
      <c r="E68" s="652">
        <v>1.25</v>
      </c>
      <c r="F68" s="652">
        <v>5</v>
      </c>
      <c r="G68" s="652">
        <v>1.25</v>
      </c>
      <c r="H68" s="652">
        <v>8</v>
      </c>
      <c r="I68" s="652">
        <v>1.5</v>
      </c>
      <c r="J68" s="652">
        <v>10</v>
      </c>
      <c r="K68" s="653">
        <v>0.4</v>
      </c>
      <c r="L68" s="621">
        <v>25</v>
      </c>
      <c r="M68" s="621">
        <v>-0.4</v>
      </c>
      <c r="N68" s="621"/>
      <c r="O68" s="621"/>
    </row>
    <row r="69" spans="1:15" x14ac:dyDescent="0.35">
      <c r="A69" s="232" t="s">
        <v>142</v>
      </c>
      <c r="B69" s="230" t="s">
        <v>89</v>
      </c>
      <c r="C69" s="652">
        <v>1.25</v>
      </c>
      <c r="D69" s="652">
        <v>2</v>
      </c>
      <c r="E69" s="652">
        <v>1.25</v>
      </c>
      <c r="F69" s="652">
        <v>5</v>
      </c>
      <c r="G69" s="652">
        <v>-1.25</v>
      </c>
      <c r="H69" s="652">
        <v>8</v>
      </c>
      <c r="I69" s="652">
        <v>1.5</v>
      </c>
      <c r="J69" s="652">
        <v>9</v>
      </c>
      <c r="K69" s="653">
        <v>-0.4</v>
      </c>
      <c r="L69" s="621">
        <v>25</v>
      </c>
      <c r="M69" s="621">
        <v>-0.4</v>
      </c>
      <c r="N69" s="621"/>
      <c r="O69" s="621"/>
    </row>
    <row r="70" spans="1:15" x14ac:dyDescent="0.35">
      <c r="A70" s="232" t="s">
        <v>143</v>
      </c>
      <c r="B70" s="230" t="s">
        <v>89</v>
      </c>
      <c r="C70" s="652">
        <v>1.25</v>
      </c>
      <c r="D70" s="652">
        <v>2</v>
      </c>
      <c r="E70" s="652">
        <v>1.25</v>
      </c>
      <c r="F70" s="652">
        <v>5</v>
      </c>
      <c r="G70" s="652">
        <v>-1.25</v>
      </c>
      <c r="H70" s="652">
        <v>8</v>
      </c>
      <c r="I70" s="652">
        <v>1.5</v>
      </c>
      <c r="J70" s="652">
        <v>10</v>
      </c>
      <c r="K70" s="653">
        <v>-0.4</v>
      </c>
      <c r="L70" s="621">
        <v>25</v>
      </c>
      <c r="M70" s="621">
        <v>-0.4</v>
      </c>
      <c r="N70" s="621"/>
      <c r="O70" s="621"/>
    </row>
    <row r="71" spans="1:15" x14ac:dyDescent="0.35">
      <c r="A71" s="232" t="s">
        <v>144</v>
      </c>
      <c r="B71" s="230" t="s">
        <v>89</v>
      </c>
      <c r="C71" s="652">
        <v>1.25</v>
      </c>
      <c r="D71" s="652">
        <v>2</v>
      </c>
      <c r="E71" s="652">
        <v>1.25</v>
      </c>
      <c r="F71" s="652">
        <v>5</v>
      </c>
      <c r="G71" s="652">
        <v>1.25</v>
      </c>
      <c r="H71" s="652">
        <v>8</v>
      </c>
      <c r="I71" s="652">
        <v>1.5</v>
      </c>
      <c r="J71" s="652">
        <v>23</v>
      </c>
      <c r="K71" s="653">
        <v>0.4</v>
      </c>
      <c r="L71" s="621">
        <v>25</v>
      </c>
      <c r="M71" s="621">
        <v>-0.4</v>
      </c>
      <c r="N71" s="621"/>
      <c r="O71" s="621"/>
    </row>
    <row r="72" spans="1:15" x14ac:dyDescent="0.35">
      <c r="A72" s="232" t="s">
        <v>145</v>
      </c>
      <c r="B72" s="230" t="s">
        <v>89</v>
      </c>
      <c r="C72" s="652">
        <v>1.25</v>
      </c>
      <c r="D72" s="652">
        <v>2</v>
      </c>
      <c r="E72" s="652">
        <v>1.25</v>
      </c>
      <c r="F72" s="652">
        <v>5</v>
      </c>
      <c r="G72" s="652">
        <v>1.25</v>
      </c>
      <c r="H72" s="652">
        <v>8</v>
      </c>
      <c r="I72" s="652">
        <v>1.5</v>
      </c>
      <c r="J72" s="652">
        <v>24</v>
      </c>
      <c r="K72" s="653">
        <v>0.4</v>
      </c>
      <c r="L72" s="621">
        <v>25</v>
      </c>
      <c r="M72" s="621">
        <v>-0.4</v>
      </c>
      <c r="N72" s="621"/>
      <c r="O72" s="621"/>
    </row>
    <row r="73" spans="1:15" x14ac:dyDescent="0.35">
      <c r="A73" s="232" t="s">
        <v>146</v>
      </c>
      <c r="B73" s="230" t="s">
        <v>89</v>
      </c>
      <c r="C73" s="652">
        <v>1.25</v>
      </c>
      <c r="D73" s="652">
        <v>2</v>
      </c>
      <c r="E73" s="652">
        <v>1.25</v>
      </c>
      <c r="F73" s="652">
        <v>5</v>
      </c>
      <c r="G73" s="652">
        <v>-1.25</v>
      </c>
      <c r="H73" s="652">
        <v>8</v>
      </c>
      <c r="I73" s="652">
        <v>1.5</v>
      </c>
      <c r="J73" s="652">
        <v>23</v>
      </c>
      <c r="K73" s="653">
        <v>-0.4</v>
      </c>
      <c r="L73" s="621">
        <v>25</v>
      </c>
      <c r="M73" s="621">
        <v>-0.4</v>
      </c>
      <c r="N73" s="621"/>
      <c r="O73" s="621"/>
    </row>
    <row r="74" spans="1:15" x14ac:dyDescent="0.35">
      <c r="A74" s="232" t="s">
        <v>147</v>
      </c>
      <c r="B74" s="230" t="s">
        <v>89</v>
      </c>
      <c r="C74" s="652">
        <v>1.25</v>
      </c>
      <c r="D74" s="652">
        <v>2</v>
      </c>
      <c r="E74" s="652">
        <v>1.25</v>
      </c>
      <c r="F74" s="652">
        <v>5</v>
      </c>
      <c r="G74" s="652">
        <v>-1.25</v>
      </c>
      <c r="H74" s="652">
        <v>8</v>
      </c>
      <c r="I74" s="652">
        <v>1.5</v>
      </c>
      <c r="J74" s="652">
        <v>24</v>
      </c>
      <c r="K74" s="653">
        <v>-0.4</v>
      </c>
      <c r="L74" s="621">
        <v>25</v>
      </c>
      <c r="M74" s="621">
        <v>-0.4</v>
      </c>
      <c r="N74" s="621"/>
      <c r="O74" s="621"/>
    </row>
    <row r="75" spans="1:15" x14ac:dyDescent="0.35">
      <c r="A75" s="232" t="s">
        <v>148</v>
      </c>
      <c r="B75" s="230" t="s">
        <v>89</v>
      </c>
      <c r="C75" s="652">
        <v>1.25</v>
      </c>
      <c r="D75" s="652">
        <v>2</v>
      </c>
      <c r="E75" s="652">
        <v>1.25</v>
      </c>
      <c r="F75" s="652">
        <v>5</v>
      </c>
      <c r="G75" s="652">
        <v>1.25</v>
      </c>
      <c r="H75" s="652">
        <v>7</v>
      </c>
      <c r="I75" s="652">
        <v>0.5</v>
      </c>
      <c r="J75" s="652">
        <v>8</v>
      </c>
      <c r="K75" s="653">
        <v>0.5</v>
      </c>
      <c r="L75" s="621">
        <v>9</v>
      </c>
      <c r="M75" s="621">
        <v>1.4</v>
      </c>
      <c r="N75" s="621">
        <v>25</v>
      </c>
      <c r="O75" s="621">
        <v>1.4</v>
      </c>
    </row>
    <row r="76" spans="1:15" x14ac:dyDescent="0.35">
      <c r="A76" s="232" t="s">
        <v>149</v>
      </c>
      <c r="B76" s="230" t="s">
        <v>89</v>
      </c>
      <c r="C76" s="652">
        <v>1.25</v>
      </c>
      <c r="D76" s="652">
        <v>2</v>
      </c>
      <c r="E76" s="652">
        <v>1.25</v>
      </c>
      <c r="F76" s="652">
        <v>5</v>
      </c>
      <c r="G76" s="652">
        <v>1.25</v>
      </c>
      <c r="H76" s="652">
        <v>7</v>
      </c>
      <c r="I76" s="652">
        <v>0.5</v>
      </c>
      <c r="J76" s="652">
        <v>8</v>
      </c>
      <c r="K76" s="653">
        <v>0.5</v>
      </c>
      <c r="L76" s="621">
        <v>10</v>
      </c>
      <c r="M76" s="621">
        <v>1.4</v>
      </c>
      <c r="N76" s="621">
        <v>25</v>
      </c>
      <c r="O76" s="621">
        <v>1.4</v>
      </c>
    </row>
    <row r="77" spans="1:15" x14ac:dyDescent="0.35">
      <c r="A77" s="232" t="s">
        <v>150</v>
      </c>
      <c r="B77" s="230" t="s">
        <v>89</v>
      </c>
      <c r="C77" s="652">
        <v>1.25</v>
      </c>
      <c r="D77" s="652">
        <v>2</v>
      </c>
      <c r="E77" s="652">
        <v>1.25</v>
      </c>
      <c r="F77" s="652">
        <v>5</v>
      </c>
      <c r="G77" s="652">
        <v>-1.25</v>
      </c>
      <c r="H77" s="652">
        <v>7</v>
      </c>
      <c r="I77" s="652">
        <v>0.5</v>
      </c>
      <c r="J77" s="652">
        <v>8</v>
      </c>
      <c r="K77" s="653">
        <v>0.5</v>
      </c>
      <c r="L77" s="621">
        <v>9</v>
      </c>
      <c r="M77" s="621">
        <v>-1.4</v>
      </c>
      <c r="N77" s="621">
        <v>25</v>
      </c>
      <c r="O77" s="621">
        <v>1.4</v>
      </c>
    </row>
    <row r="78" spans="1:15" x14ac:dyDescent="0.35">
      <c r="A78" s="232" t="s">
        <v>151</v>
      </c>
      <c r="B78" s="230" t="s">
        <v>89</v>
      </c>
      <c r="C78" s="652">
        <v>1.25</v>
      </c>
      <c r="D78" s="652">
        <v>2</v>
      </c>
      <c r="E78" s="652">
        <v>1.25</v>
      </c>
      <c r="F78" s="652">
        <v>5</v>
      </c>
      <c r="G78" s="652">
        <v>-1.25</v>
      </c>
      <c r="H78" s="652">
        <v>7</v>
      </c>
      <c r="I78" s="652">
        <v>0.5</v>
      </c>
      <c r="J78" s="652">
        <v>8</v>
      </c>
      <c r="K78" s="653">
        <v>0.5</v>
      </c>
      <c r="L78" s="621">
        <v>10</v>
      </c>
      <c r="M78" s="621">
        <v>-1.4</v>
      </c>
      <c r="N78" s="621">
        <v>25</v>
      </c>
      <c r="O78" s="621">
        <v>1.4</v>
      </c>
    </row>
    <row r="79" spans="1:15" x14ac:dyDescent="0.35">
      <c r="A79" s="232" t="s">
        <v>152</v>
      </c>
      <c r="B79" s="230" t="s">
        <v>89</v>
      </c>
      <c r="C79" s="652">
        <v>1.25</v>
      </c>
      <c r="D79" s="652">
        <v>2</v>
      </c>
      <c r="E79" s="652">
        <v>1.25</v>
      </c>
      <c r="F79" s="652">
        <v>5</v>
      </c>
      <c r="G79" s="652">
        <v>1.25</v>
      </c>
      <c r="H79" s="652">
        <v>7</v>
      </c>
      <c r="I79" s="652">
        <v>0.5</v>
      </c>
      <c r="J79" s="652">
        <v>8</v>
      </c>
      <c r="K79" s="653">
        <v>0.5</v>
      </c>
      <c r="L79" s="621">
        <v>23</v>
      </c>
      <c r="M79" s="621">
        <v>1.4</v>
      </c>
      <c r="N79" s="621">
        <v>25</v>
      </c>
      <c r="O79" s="621">
        <v>1.4</v>
      </c>
    </row>
    <row r="80" spans="1:15" x14ac:dyDescent="0.35">
      <c r="A80" s="232" t="s">
        <v>153</v>
      </c>
      <c r="B80" s="230" t="s">
        <v>89</v>
      </c>
      <c r="C80" s="652">
        <v>1.25</v>
      </c>
      <c r="D80" s="652">
        <v>2</v>
      </c>
      <c r="E80" s="652">
        <v>1.25</v>
      </c>
      <c r="F80" s="652">
        <v>5</v>
      </c>
      <c r="G80" s="652">
        <v>1.25</v>
      </c>
      <c r="H80" s="652">
        <v>7</v>
      </c>
      <c r="I80" s="652">
        <v>0.5</v>
      </c>
      <c r="J80" s="652">
        <v>8</v>
      </c>
      <c r="K80" s="653">
        <v>0.5</v>
      </c>
      <c r="L80" s="621">
        <v>24</v>
      </c>
      <c r="M80" s="621">
        <v>1.4</v>
      </c>
      <c r="N80" s="621">
        <v>25</v>
      </c>
      <c r="O80" s="621">
        <v>1.4</v>
      </c>
    </row>
    <row r="81" spans="1:15" x14ac:dyDescent="0.35">
      <c r="A81" s="232" t="s">
        <v>154</v>
      </c>
      <c r="B81" s="230" t="s">
        <v>89</v>
      </c>
      <c r="C81" s="652">
        <v>1.25</v>
      </c>
      <c r="D81" s="652">
        <v>2</v>
      </c>
      <c r="E81" s="652">
        <v>1.25</v>
      </c>
      <c r="F81" s="652">
        <v>5</v>
      </c>
      <c r="G81" s="652">
        <v>-1.25</v>
      </c>
      <c r="H81" s="652">
        <v>7</v>
      </c>
      <c r="I81" s="652">
        <v>0.5</v>
      </c>
      <c r="J81" s="652">
        <v>8</v>
      </c>
      <c r="K81" s="653">
        <v>0.5</v>
      </c>
      <c r="L81" s="621">
        <v>23</v>
      </c>
      <c r="M81" s="621">
        <v>-1.4</v>
      </c>
      <c r="N81" s="621">
        <v>25</v>
      </c>
      <c r="O81" s="621">
        <v>1.4</v>
      </c>
    </row>
    <row r="82" spans="1:15" x14ac:dyDescent="0.35">
      <c r="A82" s="232" t="s">
        <v>155</v>
      </c>
      <c r="B82" s="230" t="s">
        <v>89</v>
      </c>
      <c r="C82" s="652">
        <v>1.25</v>
      </c>
      <c r="D82" s="652">
        <v>2</v>
      </c>
      <c r="E82" s="652">
        <v>1.25</v>
      </c>
      <c r="F82" s="652">
        <v>5</v>
      </c>
      <c r="G82" s="652">
        <v>-1.25</v>
      </c>
      <c r="H82" s="652">
        <v>7</v>
      </c>
      <c r="I82" s="652">
        <v>0.5</v>
      </c>
      <c r="J82" s="652">
        <v>8</v>
      </c>
      <c r="K82" s="653">
        <v>0.5</v>
      </c>
      <c r="L82" s="621">
        <v>24</v>
      </c>
      <c r="M82" s="621">
        <v>-1.4</v>
      </c>
      <c r="N82" s="621">
        <v>25</v>
      </c>
      <c r="O82" s="621">
        <v>1.4</v>
      </c>
    </row>
    <row r="83" spans="1:15" x14ac:dyDescent="0.35">
      <c r="A83" s="232" t="s">
        <v>156</v>
      </c>
      <c r="B83" s="230" t="s">
        <v>89</v>
      </c>
      <c r="C83" s="652">
        <v>1.25</v>
      </c>
      <c r="D83" s="652">
        <v>2</v>
      </c>
      <c r="E83" s="652">
        <v>1.25</v>
      </c>
      <c r="F83" s="652">
        <v>5</v>
      </c>
      <c r="G83" s="652">
        <v>1.25</v>
      </c>
      <c r="H83" s="652">
        <v>7</v>
      </c>
      <c r="I83" s="652">
        <v>0.5</v>
      </c>
      <c r="J83" s="652">
        <v>8</v>
      </c>
      <c r="K83" s="653">
        <v>0.5</v>
      </c>
      <c r="L83" s="621">
        <v>9</v>
      </c>
      <c r="M83" s="621">
        <v>1.4</v>
      </c>
      <c r="N83" s="621">
        <v>25</v>
      </c>
      <c r="O83" s="621">
        <v>-1.4</v>
      </c>
    </row>
    <row r="84" spans="1:15" x14ac:dyDescent="0.35">
      <c r="A84" s="232" t="s">
        <v>157</v>
      </c>
      <c r="B84" s="230" t="s">
        <v>89</v>
      </c>
      <c r="C84" s="652">
        <v>1.25</v>
      </c>
      <c r="D84" s="652">
        <v>2</v>
      </c>
      <c r="E84" s="652">
        <v>1.25</v>
      </c>
      <c r="F84" s="652">
        <v>5</v>
      </c>
      <c r="G84" s="652">
        <v>1.25</v>
      </c>
      <c r="H84" s="652">
        <v>7</v>
      </c>
      <c r="I84" s="652">
        <v>0.5</v>
      </c>
      <c r="J84" s="652">
        <v>8</v>
      </c>
      <c r="K84" s="653">
        <v>0.5</v>
      </c>
      <c r="L84" s="621">
        <v>10</v>
      </c>
      <c r="M84" s="621">
        <v>1.4</v>
      </c>
      <c r="N84" s="621">
        <v>25</v>
      </c>
      <c r="O84" s="621">
        <v>-1.4</v>
      </c>
    </row>
    <row r="85" spans="1:15" x14ac:dyDescent="0.35">
      <c r="A85" s="232" t="s">
        <v>158</v>
      </c>
      <c r="B85" s="230" t="s">
        <v>89</v>
      </c>
      <c r="C85" s="652">
        <v>1.25</v>
      </c>
      <c r="D85" s="652">
        <v>2</v>
      </c>
      <c r="E85" s="652">
        <v>1.25</v>
      </c>
      <c r="F85" s="652">
        <v>5</v>
      </c>
      <c r="G85" s="652">
        <v>-1.25</v>
      </c>
      <c r="H85" s="652">
        <v>7</v>
      </c>
      <c r="I85" s="652">
        <v>0.5</v>
      </c>
      <c r="J85" s="652">
        <v>8</v>
      </c>
      <c r="K85" s="653">
        <v>0.5</v>
      </c>
      <c r="L85" s="621">
        <v>9</v>
      </c>
      <c r="M85" s="621">
        <v>-1.4</v>
      </c>
      <c r="N85" s="621">
        <v>25</v>
      </c>
      <c r="O85" s="621">
        <v>-1.4</v>
      </c>
    </row>
    <row r="86" spans="1:15" x14ac:dyDescent="0.35">
      <c r="A86" s="232" t="s">
        <v>159</v>
      </c>
      <c r="B86" s="230" t="s">
        <v>89</v>
      </c>
      <c r="C86" s="652">
        <v>1.25</v>
      </c>
      <c r="D86" s="652">
        <v>2</v>
      </c>
      <c r="E86" s="652">
        <v>1.25</v>
      </c>
      <c r="F86" s="652">
        <v>5</v>
      </c>
      <c r="G86" s="652">
        <v>-1.25</v>
      </c>
      <c r="H86" s="652">
        <v>7</v>
      </c>
      <c r="I86" s="652">
        <v>0.5</v>
      </c>
      <c r="J86" s="652">
        <v>8</v>
      </c>
      <c r="K86" s="653">
        <v>0.5</v>
      </c>
      <c r="L86" s="621">
        <v>10</v>
      </c>
      <c r="M86" s="621">
        <v>-1.4</v>
      </c>
      <c r="N86" s="621">
        <v>25</v>
      </c>
      <c r="O86" s="621">
        <v>-1.4</v>
      </c>
    </row>
    <row r="87" spans="1:15" x14ac:dyDescent="0.35">
      <c r="A87" s="232" t="s">
        <v>160</v>
      </c>
      <c r="B87" s="230" t="s">
        <v>89</v>
      </c>
      <c r="C87" s="652">
        <v>1.25</v>
      </c>
      <c r="D87" s="652">
        <v>2</v>
      </c>
      <c r="E87" s="652">
        <v>1.25</v>
      </c>
      <c r="F87" s="652">
        <v>5</v>
      </c>
      <c r="G87" s="652">
        <v>1.25</v>
      </c>
      <c r="H87" s="652">
        <v>7</v>
      </c>
      <c r="I87" s="652">
        <v>0.5</v>
      </c>
      <c r="J87" s="652">
        <v>8</v>
      </c>
      <c r="K87" s="653">
        <v>0.5</v>
      </c>
      <c r="L87" s="621">
        <v>23</v>
      </c>
      <c r="M87" s="621">
        <v>1.4</v>
      </c>
      <c r="N87" s="621">
        <v>25</v>
      </c>
      <c r="O87" s="621">
        <v>-1.4</v>
      </c>
    </row>
    <row r="88" spans="1:15" x14ac:dyDescent="0.35">
      <c r="A88" s="232" t="s">
        <v>161</v>
      </c>
      <c r="B88" s="230" t="s">
        <v>89</v>
      </c>
      <c r="C88" s="652">
        <v>1.25</v>
      </c>
      <c r="D88" s="652">
        <v>2</v>
      </c>
      <c r="E88" s="652">
        <v>1.25</v>
      </c>
      <c r="F88" s="652">
        <v>5</v>
      </c>
      <c r="G88" s="652">
        <v>1.25</v>
      </c>
      <c r="H88" s="652">
        <v>7</v>
      </c>
      <c r="I88" s="652">
        <v>0.5</v>
      </c>
      <c r="J88" s="652">
        <v>8</v>
      </c>
      <c r="K88" s="653">
        <v>0.5</v>
      </c>
      <c r="L88" s="621">
        <v>24</v>
      </c>
      <c r="M88" s="621">
        <v>1.4</v>
      </c>
      <c r="N88" s="621">
        <v>25</v>
      </c>
      <c r="O88" s="621">
        <v>-1.4</v>
      </c>
    </row>
    <row r="89" spans="1:15" x14ac:dyDescent="0.35">
      <c r="A89" s="232" t="s">
        <v>162</v>
      </c>
      <c r="B89" s="230" t="s">
        <v>89</v>
      </c>
      <c r="C89" s="652">
        <v>1.25</v>
      </c>
      <c r="D89" s="652">
        <v>2</v>
      </c>
      <c r="E89" s="652">
        <v>1.25</v>
      </c>
      <c r="F89" s="652">
        <v>5</v>
      </c>
      <c r="G89" s="652">
        <v>-1.25</v>
      </c>
      <c r="H89" s="652">
        <v>7</v>
      </c>
      <c r="I89" s="652">
        <v>0.5</v>
      </c>
      <c r="J89" s="652">
        <v>8</v>
      </c>
      <c r="K89" s="653">
        <v>0.5</v>
      </c>
      <c r="L89" s="621">
        <v>23</v>
      </c>
      <c r="M89" s="621">
        <v>-1.4</v>
      </c>
      <c r="N89" s="621">
        <v>25</v>
      </c>
      <c r="O89" s="621">
        <v>-1.4</v>
      </c>
    </row>
    <row r="90" spans="1:15" x14ac:dyDescent="0.35">
      <c r="A90" s="232" t="s">
        <v>163</v>
      </c>
      <c r="B90" s="230" t="s">
        <v>89</v>
      </c>
      <c r="C90" s="652">
        <v>1.25</v>
      </c>
      <c r="D90" s="652">
        <v>2</v>
      </c>
      <c r="E90" s="652">
        <v>1.25</v>
      </c>
      <c r="F90" s="652">
        <v>5</v>
      </c>
      <c r="G90" s="652">
        <v>-1.25</v>
      </c>
      <c r="H90" s="652">
        <v>7</v>
      </c>
      <c r="I90" s="652">
        <v>0.5</v>
      </c>
      <c r="J90" s="652">
        <v>8</v>
      </c>
      <c r="K90" s="653">
        <v>0.5</v>
      </c>
      <c r="L90" s="621">
        <v>24</v>
      </c>
      <c r="M90" s="621">
        <v>-1.4</v>
      </c>
      <c r="N90" s="621">
        <v>25</v>
      </c>
      <c r="O90" s="621">
        <v>-1.4</v>
      </c>
    </row>
    <row r="91" spans="1:15" x14ac:dyDescent="0.35">
      <c r="A91" s="232" t="s">
        <v>164</v>
      </c>
      <c r="B91" s="230" t="s">
        <v>89</v>
      </c>
      <c r="C91" s="652">
        <v>1</v>
      </c>
      <c r="D91" s="652">
        <v>2</v>
      </c>
      <c r="E91" s="652">
        <v>1</v>
      </c>
      <c r="F91" s="652">
        <v>5</v>
      </c>
      <c r="G91" s="652">
        <v>1.25</v>
      </c>
      <c r="H91" s="652">
        <v>7</v>
      </c>
      <c r="I91" s="652">
        <v>0.5</v>
      </c>
      <c r="J91" s="652">
        <v>8</v>
      </c>
      <c r="K91" s="653">
        <v>0.25</v>
      </c>
      <c r="L91" s="621">
        <v>13</v>
      </c>
      <c r="M91" s="621">
        <v>1</v>
      </c>
      <c r="N91" s="621"/>
      <c r="O91" s="621"/>
    </row>
    <row r="92" spans="1:15" x14ac:dyDescent="0.35">
      <c r="A92" s="232" t="s">
        <v>165</v>
      </c>
      <c r="B92" s="230" t="s">
        <v>89</v>
      </c>
      <c r="C92" s="652">
        <v>1</v>
      </c>
      <c r="D92" s="652">
        <v>2</v>
      </c>
      <c r="E92" s="652">
        <v>1</v>
      </c>
      <c r="F92" s="652">
        <v>5</v>
      </c>
      <c r="G92" s="652">
        <v>1.25</v>
      </c>
      <c r="H92" s="652">
        <v>7</v>
      </c>
      <c r="I92" s="652">
        <v>0.5</v>
      </c>
      <c r="J92" s="652">
        <v>8</v>
      </c>
      <c r="K92" s="653">
        <v>0.25</v>
      </c>
      <c r="L92" s="621">
        <v>14</v>
      </c>
      <c r="M92" s="621">
        <v>1</v>
      </c>
      <c r="N92" s="621"/>
      <c r="O92" s="621"/>
    </row>
    <row r="93" spans="1:15" x14ac:dyDescent="0.35">
      <c r="A93" s="232" t="s">
        <v>166</v>
      </c>
      <c r="B93" s="230" t="s">
        <v>89</v>
      </c>
      <c r="C93" s="652">
        <v>1</v>
      </c>
      <c r="D93" s="652">
        <v>2</v>
      </c>
      <c r="E93" s="652">
        <v>1</v>
      </c>
      <c r="F93" s="652">
        <v>5</v>
      </c>
      <c r="G93" s="652">
        <v>-1.25</v>
      </c>
      <c r="H93" s="652">
        <v>7</v>
      </c>
      <c r="I93" s="652">
        <v>0.5</v>
      </c>
      <c r="J93" s="652">
        <v>8</v>
      </c>
      <c r="K93" s="653">
        <v>0.25</v>
      </c>
      <c r="L93" s="621">
        <v>13</v>
      </c>
      <c r="M93" s="621">
        <v>-1</v>
      </c>
      <c r="N93" s="621"/>
      <c r="O93" s="621"/>
    </row>
    <row r="94" spans="1:15" x14ac:dyDescent="0.35">
      <c r="A94" s="232" t="s">
        <v>167</v>
      </c>
      <c r="B94" s="230" t="s">
        <v>89</v>
      </c>
      <c r="C94" s="652">
        <v>1</v>
      </c>
      <c r="D94" s="652">
        <v>2</v>
      </c>
      <c r="E94" s="652">
        <v>1</v>
      </c>
      <c r="F94" s="652">
        <v>5</v>
      </c>
      <c r="G94" s="652">
        <v>-1.25</v>
      </c>
      <c r="H94" s="652">
        <v>7</v>
      </c>
      <c r="I94" s="652">
        <v>0.5</v>
      </c>
      <c r="J94" s="652">
        <v>8</v>
      </c>
      <c r="K94" s="653">
        <v>0.25</v>
      </c>
      <c r="L94" s="621">
        <v>14</v>
      </c>
      <c r="M94" s="621">
        <v>-1</v>
      </c>
      <c r="N94" s="621"/>
      <c r="O94" s="621"/>
    </row>
    <row r="95" spans="1:15" x14ac:dyDescent="0.35">
      <c r="A95" s="232" t="s">
        <v>168</v>
      </c>
      <c r="B95" s="230" t="s">
        <v>89</v>
      </c>
      <c r="C95" s="652">
        <v>0.9</v>
      </c>
      <c r="D95" s="652">
        <v>4</v>
      </c>
      <c r="E95" s="652">
        <v>0.9</v>
      </c>
      <c r="F95" s="652">
        <v>5</v>
      </c>
      <c r="G95" s="652">
        <v>1.25</v>
      </c>
      <c r="H95" s="652">
        <v>9</v>
      </c>
      <c r="I95" s="652">
        <v>1.4</v>
      </c>
      <c r="J95" s="652">
        <v>25</v>
      </c>
      <c r="K95" s="653">
        <v>1.4</v>
      </c>
      <c r="L95" s="621"/>
      <c r="M95" s="621"/>
      <c r="N95" s="621"/>
      <c r="O95" s="621"/>
    </row>
    <row r="96" spans="1:15" x14ac:dyDescent="0.35">
      <c r="A96" s="232" t="s">
        <v>169</v>
      </c>
      <c r="B96" s="230" t="s">
        <v>89</v>
      </c>
      <c r="C96" s="652">
        <v>0.9</v>
      </c>
      <c r="D96" s="652">
        <v>4</v>
      </c>
      <c r="E96" s="652">
        <v>0.9</v>
      </c>
      <c r="F96" s="652">
        <v>5</v>
      </c>
      <c r="G96" s="652">
        <v>1.25</v>
      </c>
      <c r="H96" s="652">
        <v>10</v>
      </c>
      <c r="I96" s="652">
        <v>1.4</v>
      </c>
      <c r="J96" s="652">
        <v>25</v>
      </c>
      <c r="K96" s="653">
        <v>1.4</v>
      </c>
      <c r="L96" s="621"/>
      <c r="M96" s="621"/>
      <c r="N96" s="621"/>
      <c r="O96" s="621"/>
    </row>
    <row r="97" spans="1:15" x14ac:dyDescent="0.35">
      <c r="A97" s="232" t="s">
        <v>170</v>
      </c>
      <c r="B97" s="230" t="s">
        <v>89</v>
      </c>
      <c r="C97" s="652">
        <v>0.9</v>
      </c>
      <c r="D97" s="652">
        <v>4</v>
      </c>
      <c r="E97" s="652">
        <v>0.9</v>
      </c>
      <c r="F97" s="652">
        <v>5</v>
      </c>
      <c r="G97" s="652">
        <v>-1.25</v>
      </c>
      <c r="H97" s="652">
        <v>9</v>
      </c>
      <c r="I97" s="652">
        <v>-1.4</v>
      </c>
      <c r="J97" s="652">
        <v>25</v>
      </c>
      <c r="K97" s="653">
        <v>1.4</v>
      </c>
      <c r="L97" s="621"/>
      <c r="M97" s="621"/>
      <c r="N97" s="621"/>
      <c r="O97" s="621"/>
    </row>
    <row r="98" spans="1:15" x14ac:dyDescent="0.35">
      <c r="A98" s="232" t="s">
        <v>171</v>
      </c>
      <c r="B98" s="230" t="s">
        <v>89</v>
      </c>
      <c r="C98" s="652">
        <v>0.9</v>
      </c>
      <c r="D98" s="652">
        <v>4</v>
      </c>
      <c r="E98" s="652">
        <v>0.9</v>
      </c>
      <c r="F98" s="652">
        <v>5</v>
      </c>
      <c r="G98" s="652">
        <v>-1.25</v>
      </c>
      <c r="H98" s="652">
        <v>10</v>
      </c>
      <c r="I98" s="652">
        <v>-1.4</v>
      </c>
      <c r="J98" s="652">
        <v>25</v>
      </c>
      <c r="K98" s="653">
        <v>1.4</v>
      </c>
      <c r="L98" s="621"/>
      <c r="M98" s="621"/>
      <c r="N98" s="621"/>
      <c r="O98" s="621"/>
    </row>
    <row r="99" spans="1:15" x14ac:dyDescent="0.35">
      <c r="A99" s="232" t="s">
        <v>172</v>
      </c>
      <c r="B99" s="230" t="s">
        <v>89</v>
      </c>
      <c r="C99" s="652">
        <v>0.9</v>
      </c>
      <c r="D99" s="652">
        <v>4</v>
      </c>
      <c r="E99" s="652">
        <v>0.9</v>
      </c>
      <c r="F99" s="652">
        <v>5</v>
      </c>
      <c r="G99" s="652">
        <v>1.25</v>
      </c>
      <c r="H99" s="652">
        <v>23</v>
      </c>
      <c r="I99" s="652">
        <v>1.4</v>
      </c>
      <c r="J99" s="652">
        <v>25</v>
      </c>
      <c r="K99" s="653">
        <v>1.4</v>
      </c>
      <c r="L99" s="621"/>
      <c r="M99" s="621"/>
      <c r="N99" s="621"/>
      <c r="O99" s="621"/>
    </row>
    <row r="100" spans="1:15" x14ac:dyDescent="0.35">
      <c r="A100" s="232" t="s">
        <v>173</v>
      </c>
      <c r="B100" s="230" t="s">
        <v>89</v>
      </c>
      <c r="C100" s="652">
        <v>0.9</v>
      </c>
      <c r="D100" s="652">
        <v>4</v>
      </c>
      <c r="E100" s="652">
        <v>0.9</v>
      </c>
      <c r="F100" s="652">
        <v>5</v>
      </c>
      <c r="G100" s="652">
        <v>1.25</v>
      </c>
      <c r="H100" s="652">
        <v>24</v>
      </c>
      <c r="I100" s="652">
        <v>1.4</v>
      </c>
      <c r="J100" s="652">
        <v>25</v>
      </c>
      <c r="K100" s="653">
        <v>1.4</v>
      </c>
      <c r="L100" s="621"/>
      <c r="M100" s="621"/>
      <c r="N100" s="621"/>
      <c r="O100" s="621"/>
    </row>
    <row r="101" spans="1:15" x14ac:dyDescent="0.35">
      <c r="A101" s="232" t="s">
        <v>174</v>
      </c>
      <c r="B101" s="230" t="s">
        <v>89</v>
      </c>
      <c r="C101" s="652">
        <v>0.9</v>
      </c>
      <c r="D101" s="652">
        <v>4</v>
      </c>
      <c r="E101" s="652">
        <v>0.9</v>
      </c>
      <c r="F101" s="652">
        <v>5</v>
      </c>
      <c r="G101" s="652">
        <v>-1.25</v>
      </c>
      <c r="H101" s="652">
        <v>23</v>
      </c>
      <c r="I101" s="652">
        <v>-1.4</v>
      </c>
      <c r="J101" s="652">
        <v>25</v>
      </c>
      <c r="K101" s="653">
        <v>1.4</v>
      </c>
      <c r="L101" s="621"/>
      <c r="M101" s="621"/>
      <c r="N101" s="621"/>
      <c r="O101" s="621"/>
    </row>
    <row r="102" spans="1:15" x14ac:dyDescent="0.35">
      <c r="A102" s="232" t="s">
        <v>175</v>
      </c>
      <c r="B102" s="230" t="s">
        <v>89</v>
      </c>
      <c r="C102" s="652">
        <v>0.9</v>
      </c>
      <c r="D102" s="652">
        <v>4</v>
      </c>
      <c r="E102" s="652">
        <v>0.9</v>
      </c>
      <c r="F102" s="652">
        <v>5</v>
      </c>
      <c r="G102" s="652">
        <v>-1.25</v>
      </c>
      <c r="H102" s="652">
        <v>24</v>
      </c>
      <c r="I102" s="652">
        <v>-1.4</v>
      </c>
      <c r="J102" s="652">
        <v>25</v>
      </c>
      <c r="K102" s="653">
        <v>1.4</v>
      </c>
      <c r="L102" s="621"/>
      <c r="M102" s="621"/>
      <c r="N102" s="621"/>
      <c r="O102" s="621"/>
    </row>
    <row r="103" spans="1:15" x14ac:dyDescent="0.35">
      <c r="A103" s="232" t="s">
        <v>176</v>
      </c>
      <c r="B103" s="230" t="s">
        <v>89</v>
      </c>
      <c r="C103" s="652">
        <v>0.9</v>
      </c>
      <c r="D103" s="652">
        <v>4</v>
      </c>
      <c r="E103" s="652">
        <v>0.9</v>
      </c>
      <c r="F103" s="652">
        <v>5</v>
      </c>
      <c r="G103" s="652">
        <v>1.25</v>
      </c>
      <c r="H103" s="652">
        <v>9</v>
      </c>
      <c r="I103" s="652">
        <v>1.4</v>
      </c>
      <c r="J103" s="652">
        <v>25</v>
      </c>
      <c r="K103" s="653">
        <v>-1.4</v>
      </c>
      <c r="L103" s="621"/>
      <c r="M103" s="621"/>
      <c r="N103" s="621"/>
      <c r="O103" s="621"/>
    </row>
    <row r="104" spans="1:15" x14ac:dyDescent="0.35">
      <c r="A104" s="232" t="s">
        <v>177</v>
      </c>
      <c r="B104" s="230" t="s">
        <v>89</v>
      </c>
      <c r="C104" s="652">
        <v>0.9</v>
      </c>
      <c r="D104" s="652">
        <v>4</v>
      </c>
      <c r="E104" s="652">
        <v>0.9</v>
      </c>
      <c r="F104" s="652">
        <v>5</v>
      </c>
      <c r="G104" s="652">
        <v>1.25</v>
      </c>
      <c r="H104" s="652">
        <v>10</v>
      </c>
      <c r="I104" s="652">
        <v>1.4</v>
      </c>
      <c r="J104" s="652">
        <v>25</v>
      </c>
      <c r="K104" s="653">
        <v>-1.4</v>
      </c>
      <c r="L104" s="621"/>
      <c r="M104" s="621"/>
      <c r="N104" s="621"/>
      <c r="O104" s="621"/>
    </row>
    <row r="105" spans="1:15" x14ac:dyDescent="0.35">
      <c r="A105" s="232" t="s">
        <v>178</v>
      </c>
      <c r="B105" s="230" t="s">
        <v>89</v>
      </c>
      <c r="C105" s="652">
        <v>0.9</v>
      </c>
      <c r="D105" s="652">
        <v>4</v>
      </c>
      <c r="E105" s="652">
        <v>0.9</v>
      </c>
      <c r="F105" s="652">
        <v>5</v>
      </c>
      <c r="G105" s="652">
        <v>-1.25</v>
      </c>
      <c r="H105" s="652">
        <v>9</v>
      </c>
      <c r="I105" s="652">
        <v>-1.4</v>
      </c>
      <c r="J105" s="652">
        <v>25</v>
      </c>
      <c r="K105" s="653">
        <v>-1.4</v>
      </c>
      <c r="L105" s="621"/>
      <c r="M105" s="621"/>
      <c r="N105" s="621"/>
      <c r="O105" s="621"/>
    </row>
    <row r="106" spans="1:15" x14ac:dyDescent="0.35">
      <c r="A106" s="232" t="s">
        <v>179</v>
      </c>
      <c r="B106" s="230" t="s">
        <v>89</v>
      </c>
      <c r="C106" s="652">
        <v>0.9</v>
      </c>
      <c r="D106" s="652">
        <v>4</v>
      </c>
      <c r="E106" s="652">
        <v>0.9</v>
      </c>
      <c r="F106" s="652">
        <v>5</v>
      </c>
      <c r="G106" s="652">
        <v>-1.25</v>
      </c>
      <c r="H106" s="652">
        <v>10</v>
      </c>
      <c r="I106" s="652">
        <v>-1.4</v>
      </c>
      <c r="J106" s="652">
        <v>25</v>
      </c>
      <c r="K106" s="653">
        <v>-1.4</v>
      </c>
      <c r="L106" s="621"/>
      <c r="M106" s="621"/>
      <c r="N106" s="621"/>
      <c r="O106" s="621"/>
    </row>
    <row r="107" spans="1:15" x14ac:dyDescent="0.35">
      <c r="A107" s="232" t="s">
        <v>180</v>
      </c>
      <c r="B107" s="230" t="s">
        <v>89</v>
      </c>
      <c r="C107" s="652">
        <v>0.9</v>
      </c>
      <c r="D107" s="652">
        <v>4</v>
      </c>
      <c r="E107" s="652">
        <v>0.9</v>
      </c>
      <c r="F107" s="652">
        <v>5</v>
      </c>
      <c r="G107" s="652">
        <v>1.25</v>
      </c>
      <c r="H107" s="652">
        <v>23</v>
      </c>
      <c r="I107" s="652">
        <v>1.4</v>
      </c>
      <c r="J107" s="652">
        <v>25</v>
      </c>
      <c r="K107" s="653">
        <v>-1.4</v>
      </c>
      <c r="L107" s="621"/>
      <c r="M107" s="621"/>
      <c r="N107" s="621"/>
      <c r="O107" s="621"/>
    </row>
    <row r="108" spans="1:15" x14ac:dyDescent="0.35">
      <c r="A108" s="232" t="s">
        <v>181</v>
      </c>
      <c r="B108" s="230" t="s">
        <v>89</v>
      </c>
      <c r="C108" s="652">
        <v>0.9</v>
      </c>
      <c r="D108" s="652">
        <v>4</v>
      </c>
      <c r="E108" s="652">
        <v>0.9</v>
      </c>
      <c r="F108" s="652">
        <v>5</v>
      </c>
      <c r="G108" s="652">
        <v>1.25</v>
      </c>
      <c r="H108" s="652">
        <v>24</v>
      </c>
      <c r="I108" s="652">
        <v>1.4</v>
      </c>
      <c r="J108" s="652">
        <v>25</v>
      </c>
      <c r="K108" s="653">
        <v>-1.4</v>
      </c>
      <c r="L108" s="621"/>
      <c r="M108" s="621"/>
      <c r="N108" s="621"/>
      <c r="O108" s="621"/>
    </row>
    <row r="109" spans="1:15" x14ac:dyDescent="0.35">
      <c r="A109" s="232" t="s">
        <v>182</v>
      </c>
      <c r="B109" s="230" t="s">
        <v>89</v>
      </c>
      <c r="C109" s="652">
        <v>0.9</v>
      </c>
      <c r="D109" s="652">
        <v>4</v>
      </c>
      <c r="E109" s="652">
        <v>0.9</v>
      </c>
      <c r="F109" s="652">
        <v>5</v>
      </c>
      <c r="G109" s="652">
        <v>-1.25</v>
      </c>
      <c r="H109" s="652">
        <v>23</v>
      </c>
      <c r="I109" s="652">
        <v>-1.4</v>
      </c>
      <c r="J109" s="652">
        <v>25</v>
      </c>
      <c r="K109" s="653">
        <v>-1.4</v>
      </c>
      <c r="L109" s="621"/>
      <c r="M109" s="621"/>
      <c r="N109" s="621"/>
      <c r="O109" s="621"/>
    </row>
    <row r="110" spans="1:15" x14ac:dyDescent="0.35">
      <c r="A110" s="232" t="s">
        <v>183</v>
      </c>
      <c r="B110" s="230" t="s">
        <v>89</v>
      </c>
      <c r="C110" s="652">
        <v>0.9</v>
      </c>
      <c r="D110" s="652">
        <v>4</v>
      </c>
      <c r="E110" s="652">
        <v>0.9</v>
      </c>
      <c r="F110" s="652">
        <v>5</v>
      </c>
      <c r="G110" s="652">
        <v>-1.25</v>
      </c>
      <c r="H110" s="652">
        <v>24</v>
      </c>
      <c r="I110" s="652">
        <v>-1.4</v>
      </c>
      <c r="J110" s="652">
        <v>25</v>
      </c>
      <c r="K110" s="653">
        <v>-1.4</v>
      </c>
      <c r="L110" s="621"/>
      <c r="M110" s="621"/>
      <c r="N110" s="621"/>
      <c r="O110" s="621"/>
    </row>
    <row r="111" spans="1:15" x14ac:dyDescent="0.35">
      <c r="A111" s="232" t="s">
        <v>184</v>
      </c>
      <c r="B111" s="230" t="s">
        <v>89</v>
      </c>
      <c r="C111" s="652">
        <v>0.9</v>
      </c>
      <c r="D111" s="652">
        <v>2</v>
      </c>
      <c r="E111" s="652">
        <v>0.9</v>
      </c>
      <c r="F111" s="652">
        <v>5</v>
      </c>
      <c r="G111" s="652">
        <v>1.25</v>
      </c>
      <c r="H111" s="652">
        <v>9</v>
      </c>
      <c r="I111" s="652">
        <v>1.4</v>
      </c>
      <c r="J111" s="652">
        <v>25</v>
      </c>
      <c r="K111" s="653">
        <v>1.4</v>
      </c>
      <c r="L111" s="621"/>
      <c r="M111" s="621"/>
      <c r="N111" s="621"/>
      <c r="O111" s="621"/>
    </row>
    <row r="112" spans="1:15" x14ac:dyDescent="0.35">
      <c r="A112" s="232" t="s">
        <v>185</v>
      </c>
      <c r="B112" s="230" t="s">
        <v>89</v>
      </c>
      <c r="C112" s="652">
        <v>0.9</v>
      </c>
      <c r="D112" s="652">
        <v>2</v>
      </c>
      <c r="E112" s="652">
        <v>0.9</v>
      </c>
      <c r="F112" s="652">
        <v>5</v>
      </c>
      <c r="G112" s="652">
        <v>1.25</v>
      </c>
      <c r="H112" s="652">
        <v>10</v>
      </c>
      <c r="I112" s="652">
        <v>1.4</v>
      </c>
      <c r="J112" s="652">
        <v>25</v>
      </c>
      <c r="K112" s="653">
        <v>1.4</v>
      </c>
      <c r="L112" s="621"/>
      <c r="M112" s="621"/>
      <c r="N112" s="621"/>
      <c r="O112" s="621"/>
    </row>
    <row r="113" spans="1:15" x14ac:dyDescent="0.35">
      <c r="A113" s="232" t="s">
        <v>186</v>
      </c>
      <c r="B113" s="230" t="s">
        <v>89</v>
      </c>
      <c r="C113" s="652">
        <v>0.9</v>
      </c>
      <c r="D113" s="652">
        <v>2</v>
      </c>
      <c r="E113" s="652">
        <v>0.9</v>
      </c>
      <c r="F113" s="652">
        <v>5</v>
      </c>
      <c r="G113" s="652">
        <v>-1.25</v>
      </c>
      <c r="H113" s="652">
        <v>9</v>
      </c>
      <c r="I113" s="652">
        <v>-1.4</v>
      </c>
      <c r="J113" s="652">
        <v>25</v>
      </c>
      <c r="K113" s="653">
        <v>1.4</v>
      </c>
      <c r="L113" s="621"/>
      <c r="M113" s="621"/>
      <c r="N113" s="621"/>
      <c r="O113" s="621"/>
    </row>
    <row r="114" spans="1:15" x14ac:dyDescent="0.35">
      <c r="A114" s="232" t="s">
        <v>187</v>
      </c>
      <c r="B114" s="230" t="s">
        <v>89</v>
      </c>
      <c r="C114" s="652">
        <v>0.9</v>
      </c>
      <c r="D114" s="652">
        <v>2</v>
      </c>
      <c r="E114" s="652">
        <v>0.9</v>
      </c>
      <c r="F114" s="652">
        <v>5</v>
      </c>
      <c r="G114" s="652">
        <v>-1.25</v>
      </c>
      <c r="H114" s="652">
        <v>10</v>
      </c>
      <c r="I114" s="652">
        <v>-1.4</v>
      </c>
      <c r="J114" s="652">
        <v>25</v>
      </c>
      <c r="K114" s="653">
        <v>1.4</v>
      </c>
      <c r="L114" s="621"/>
      <c r="M114" s="621"/>
      <c r="N114" s="621"/>
      <c r="O114" s="621"/>
    </row>
    <row r="115" spans="1:15" x14ac:dyDescent="0.35">
      <c r="A115" s="232" t="s">
        <v>188</v>
      </c>
      <c r="B115" s="230" t="s">
        <v>89</v>
      </c>
      <c r="C115" s="652">
        <v>0.9</v>
      </c>
      <c r="D115" s="652">
        <v>2</v>
      </c>
      <c r="E115" s="652">
        <v>0.9</v>
      </c>
      <c r="F115" s="652">
        <v>5</v>
      </c>
      <c r="G115" s="652">
        <v>1.25</v>
      </c>
      <c r="H115" s="652">
        <v>23</v>
      </c>
      <c r="I115" s="652">
        <v>1.4</v>
      </c>
      <c r="J115" s="652">
        <v>25</v>
      </c>
      <c r="K115" s="653">
        <v>1.4</v>
      </c>
      <c r="L115" s="621"/>
      <c r="M115" s="621"/>
      <c r="N115" s="621"/>
      <c r="O115" s="621"/>
    </row>
    <row r="116" spans="1:15" x14ac:dyDescent="0.35">
      <c r="A116" s="232" t="s">
        <v>189</v>
      </c>
      <c r="B116" s="230" t="s">
        <v>89</v>
      </c>
      <c r="C116" s="652">
        <v>0.9</v>
      </c>
      <c r="D116" s="652">
        <v>2</v>
      </c>
      <c r="E116" s="652">
        <v>0.9</v>
      </c>
      <c r="F116" s="652">
        <v>5</v>
      </c>
      <c r="G116" s="652">
        <v>1.25</v>
      </c>
      <c r="H116" s="652">
        <v>24</v>
      </c>
      <c r="I116" s="652">
        <v>1.4</v>
      </c>
      <c r="J116" s="652">
        <v>25</v>
      </c>
      <c r="K116" s="653">
        <v>1.4</v>
      </c>
      <c r="L116" s="621"/>
      <c r="M116" s="621"/>
      <c r="N116" s="621"/>
      <c r="O116" s="621"/>
    </row>
    <row r="117" spans="1:15" x14ac:dyDescent="0.35">
      <c r="A117" s="232" t="s">
        <v>190</v>
      </c>
      <c r="B117" s="230" t="s">
        <v>89</v>
      </c>
      <c r="C117" s="652">
        <v>0.9</v>
      </c>
      <c r="D117" s="652">
        <v>2</v>
      </c>
      <c r="E117" s="652">
        <v>0.9</v>
      </c>
      <c r="F117" s="652">
        <v>5</v>
      </c>
      <c r="G117" s="652">
        <v>-1.25</v>
      </c>
      <c r="H117" s="652">
        <v>23</v>
      </c>
      <c r="I117" s="652">
        <v>-1.4</v>
      </c>
      <c r="J117" s="652">
        <v>25</v>
      </c>
      <c r="K117" s="653">
        <v>1.4</v>
      </c>
      <c r="L117" s="621"/>
      <c r="M117" s="621"/>
      <c r="N117" s="621"/>
      <c r="O117" s="621"/>
    </row>
    <row r="118" spans="1:15" x14ac:dyDescent="0.35">
      <c r="A118" s="232" t="s">
        <v>191</v>
      </c>
      <c r="B118" s="230" t="s">
        <v>89</v>
      </c>
      <c r="C118" s="652">
        <v>0.9</v>
      </c>
      <c r="D118" s="652">
        <v>2</v>
      </c>
      <c r="E118" s="652">
        <v>0.9</v>
      </c>
      <c r="F118" s="652">
        <v>5</v>
      </c>
      <c r="G118" s="652">
        <v>-1.25</v>
      </c>
      <c r="H118" s="652">
        <v>24</v>
      </c>
      <c r="I118" s="652">
        <v>-1.4</v>
      </c>
      <c r="J118" s="652">
        <v>25</v>
      </c>
      <c r="K118" s="653">
        <v>1.4</v>
      </c>
      <c r="L118" s="621"/>
      <c r="M118" s="621"/>
      <c r="N118" s="621"/>
      <c r="O118" s="621"/>
    </row>
    <row r="119" spans="1:15" x14ac:dyDescent="0.35">
      <c r="A119" s="232" t="s">
        <v>192</v>
      </c>
      <c r="B119" s="230" t="s">
        <v>89</v>
      </c>
      <c r="C119" s="652">
        <v>0.9</v>
      </c>
      <c r="D119" s="652">
        <v>2</v>
      </c>
      <c r="E119" s="652">
        <v>0.9</v>
      </c>
      <c r="F119" s="652">
        <v>5</v>
      </c>
      <c r="G119" s="652">
        <v>1.25</v>
      </c>
      <c r="H119" s="652">
        <v>9</v>
      </c>
      <c r="I119" s="652">
        <v>1.4</v>
      </c>
      <c r="J119" s="652">
        <v>25</v>
      </c>
      <c r="K119" s="653">
        <v>-1.4</v>
      </c>
      <c r="L119" s="621"/>
      <c r="M119" s="621"/>
      <c r="N119" s="621"/>
      <c r="O119" s="621"/>
    </row>
    <row r="120" spans="1:15" x14ac:dyDescent="0.35">
      <c r="A120" s="232" t="s">
        <v>193</v>
      </c>
      <c r="B120" s="230" t="s">
        <v>89</v>
      </c>
      <c r="C120" s="652">
        <v>0.9</v>
      </c>
      <c r="D120" s="652">
        <v>2</v>
      </c>
      <c r="E120" s="652">
        <v>0.9</v>
      </c>
      <c r="F120" s="652">
        <v>5</v>
      </c>
      <c r="G120" s="652">
        <v>1.25</v>
      </c>
      <c r="H120" s="652">
        <v>10</v>
      </c>
      <c r="I120" s="652">
        <v>1.4</v>
      </c>
      <c r="J120" s="652">
        <v>25</v>
      </c>
      <c r="K120" s="653">
        <v>-1.4</v>
      </c>
      <c r="L120" s="621"/>
      <c r="M120" s="621"/>
      <c r="N120" s="621"/>
      <c r="O120" s="621"/>
    </row>
    <row r="121" spans="1:15" x14ac:dyDescent="0.35">
      <c r="A121" s="232" t="s">
        <v>194</v>
      </c>
      <c r="B121" s="230" t="s">
        <v>89</v>
      </c>
      <c r="C121" s="652">
        <v>0.9</v>
      </c>
      <c r="D121" s="652">
        <v>2</v>
      </c>
      <c r="E121" s="652">
        <v>0.9</v>
      </c>
      <c r="F121" s="652">
        <v>5</v>
      </c>
      <c r="G121" s="652">
        <v>-1.25</v>
      </c>
      <c r="H121" s="652">
        <v>9</v>
      </c>
      <c r="I121" s="652">
        <v>-1.4</v>
      </c>
      <c r="J121" s="652">
        <v>25</v>
      </c>
      <c r="K121" s="653">
        <v>-1.4</v>
      </c>
      <c r="L121" s="621"/>
      <c r="M121" s="621"/>
      <c r="N121" s="621"/>
      <c r="O121" s="621"/>
    </row>
    <row r="122" spans="1:15" x14ac:dyDescent="0.35">
      <c r="A122" s="232" t="s">
        <v>195</v>
      </c>
      <c r="B122" s="230" t="s">
        <v>89</v>
      </c>
      <c r="C122" s="652">
        <v>0.9</v>
      </c>
      <c r="D122" s="652">
        <v>2</v>
      </c>
      <c r="E122" s="652">
        <v>0.9</v>
      </c>
      <c r="F122" s="652">
        <v>5</v>
      </c>
      <c r="G122" s="652">
        <v>-1.25</v>
      </c>
      <c r="H122" s="652">
        <v>10</v>
      </c>
      <c r="I122" s="652">
        <v>-1.4</v>
      </c>
      <c r="J122" s="652">
        <v>25</v>
      </c>
      <c r="K122" s="653">
        <v>-1.4</v>
      </c>
      <c r="L122" s="621"/>
      <c r="M122" s="621"/>
      <c r="N122" s="621"/>
      <c r="O122" s="621"/>
    </row>
    <row r="123" spans="1:15" x14ac:dyDescent="0.35">
      <c r="A123" s="232" t="s">
        <v>196</v>
      </c>
      <c r="B123" s="230" t="s">
        <v>89</v>
      </c>
      <c r="C123" s="652">
        <v>0.9</v>
      </c>
      <c r="D123" s="652">
        <v>2</v>
      </c>
      <c r="E123" s="652">
        <v>0.9</v>
      </c>
      <c r="F123" s="652">
        <v>5</v>
      </c>
      <c r="G123" s="652">
        <v>1.25</v>
      </c>
      <c r="H123" s="652">
        <v>23</v>
      </c>
      <c r="I123" s="652">
        <v>1.4</v>
      </c>
      <c r="J123" s="652">
        <v>25</v>
      </c>
      <c r="K123" s="653">
        <v>-1.4</v>
      </c>
      <c r="L123" s="621"/>
      <c r="M123" s="621"/>
      <c r="N123" s="621"/>
      <c r="O123" s="621"/>
    </row>
    <row r="124" spans="1:15" x14ac:dyDescent="0.35">
      <c r="A124" s="232" t="s">
        <v>197</v>
      </c>
      <c r="B124" s="230" t="s">
        <v>89</v>
      </c>
      <c r="C124" s="652">
        <v>0.9</v>
      </c>
      <c r="D124" s="652">
        <v>2</v>
      </c>
      <c r="E124" s="652">
        <v>0.9</v>
      </c>
      <c r="F124" s="652">
        <v>5</v>
      </c>
      <c r="G124" s="652">
        <v>1.25</v>
      </c>
      <c r="H124" s="652">
        <v>24</v>
      </c>
      <c r="I124" s="652">
        <v>1.4</v>
      </c>
      <c r="J124" s="652">
        <v>25</v>
      </c>
      <c r="K124" s="653">
        <v>-1.4</v>
      </c>
      <c r="L124" s="621"/>
      <c r="M124" s="621"/>
      <c r="N124" s="621"/>
      <c r="O124" s="621"/>
    </row>
    <row r="125" spans="1:15" x14ac:dyDescent="0.35">
      <c r="A125" s="232" t="s">
        <v>198</v>
      </c>
      <c r="B125" s="230" t="s">
        <v>89</v>
      </c>
      <c r="C125" s="652">
        <v>0.9</v>
      </c>
      <c r="D125" s="652">
        <v>2</v>
      </c>
      <c r="E125" s="652">
        <v>0.9</v>
      </c>
      <c r="F125" s="652">
        <v>5</v>
      </c>
      <c r="G125" s="652">
        <v>-1.25</v>
      </c>
      <c r="H125" s="652">
        <v>23</v>
      </c>
      <c r="I125" s="652">
        <v>-1.4</v>
      </c>
      <c r="J125" s="652">
        <v>25</v>
      </c>
      <c r="K125" s="653">
        <v>-1.4</v>
      </c>
      <c r="L125" s="621"/>
      <c r="M125" s="621"/>
      <c r="N125" s="621"/>
      <c r="O125" s="621"/>
    </row>
    <row r="126" spans="1:15" x14ac:dyDescent="0.35">
      <c r="A126" s="232" t="s">
        <v>199</v>
      </c>
      <c r="B126" s="230" t="s">
        <v>89</v>
      </c>
      <c r="C126" s="652">
        <v>0.9</v>
      </c>
      <c r="D126" s="652">
        <v>2</v>
      </c>
      <c r="E126" s="652">
        <v>0.9</v>
      </c>
      <c r="F126" s="652">
        <v>5</v>
      </c>
      <c r="G126" s="652">
        <v>-1.25</v>
      </c>
      <c r="H126" s="652">
        <v>24</v>
      </c>
      <c r="I126" s="652">
        <v>-1.4</v>
      </c>
      <c r="J126" s="652">
        <v>25</v>
      </c>
      <c r="K126" s="653">
        <v>-1.4</v>
      </c>
      <c r="L126" s="621"/>
      <c r="M126" s="621"/>
      <c r="N126" s="621"/>
      <c r="O126" s="621"/>
    </row>
    <row r="127" spans="1:15" x14ac:dyDescent="0.35">
      <c r="A127" s="232" t="s">
        <v>200</v>
      </c>
      <c r="B127" s="230" t="s">
        <v>89</v>
      </c>
      <c r="C127" s="652">
        <v>0.9</v>
      </c>
      <c r="D127" s="652">
        <v>4</v>
      </c>
      <c r="E127" s="652">
        <v>0.9</v>
      </c>
      <c r="F127" s="652">
        <v>5</v>
      </c>
      <c r="G127" s="652">
        <v>1.25</v>
      </c>
      <c r="H127" s="652">
        <v>15</v>
      </c>
      <c r="I127" s="652">
        <v>1</v>
      </c>
      <c r="J127" s="652"/>
      <c r="K127" s="653"/>
      <c r="L127" s="621"/>
      <c r="M127" s="621"/>
      <c r="N127" s="621"/>
      <c r="O127" s="621"/>
    </row>
    <row r="128" spans="1:15" x14ac:dyDescent="0.35">
      <c r="A128" s="232" t="s">
        <v>201</v>
      </c>
      <c r="B128" s="230" t="s">
        <v>89</v>
      </c>
      <c r="C128" s="652">
        <v>0.9</v>
      </c>
      <c r="D128" s="652">
        <v>4</v>
      </c>
      <c r="E128" s="652">
        <v>0.9</v>
      </c>
      <c r="F128" s="652">
        <v>5</v>
      </c>
      <c r="G128" s="652">
        <v>1.25</v>
      </c>
      <c r="H128" s="652">
        <v>16</v>
      </c>
      <c r="I128" s="652">
        <v>1</v>
      </c>
      <c r="J128" s="652"/>
      <c r="K128" s="653"/>
      <c r="L128" s="621"/>
      <c r="M128" s="621"/>
      <c r="N128" s="621"/>
      <c r="O128" s="621"/>
    </row>
    <row r="129" spans="1:15" x14ac:dyDescent="0.35">
      <c r="A129" s="232" t="s">
        <v>202</v>
      </c>
      <c r="B129" s="230" t="s">
        <v>89</v>
      </c>
      <c r="C129" s="652">
        <v>0.9</v>
      </c>
      <c r="D129" s="652">
        <v>4</v>
      </c>
      <c r="E129" s="652">
        <v>0.9</v>
      </c>
      <c r="F129" s="652">
        <v>5</v>
      </c>
      <c r="G129" s="652">
        <v>-1.25</v>
      </c>
      <c r="H129" s="652">
        <v>15</v>
      </c>
      <c r="I129" s="652">
        <v>-1</v>
      </c>
      <c r="J129" s="652"/>
      <c r="K129" s="653"/>
      <c r="L129" s="621"/>
      <c r="M129" s="621"/>
      <c r="N129" s="621"/>
      <c r="O129" s="621"/>
    </row>
    <row r="130" spans="1:15" x14ac:dyDescent="0.35">
      <c r="A130" s="232" t="s">
        <v>203</v>
      </c>
      <c r="B130" s="230" t="s">
        <v>89</v>
      </c>
      <c r="C130" s="652">
        <v>0.9</v>
      </c>
      <c r="D130" s="652">
        <v>4</v>
      </c>
      <c r="E130" s="652">
        <v>0.9</v>
      </c>
      <c r="F130" s="652">
        <v>5</v>
      </c>
      <c r="G130" s="652">
        <v>-1.25</v>
      </c>
      <c r="H130" s="652">
        <v>16</v>
      </c>
      <c r="I130" s="652">
        <v>-1</v>
      </c>
      <c r="J130" s="652"/>
      <c r="K130" s="653"/>
      <c r="L130" s="621"/>
      <c r="M130" s="621"/>
      <c r="N130" s="621"/>
      <c r="O130" s="621"/>
    </row>
    <row r="131" spans="1:15" x14ac:dyDescent="0.35">
      <c r="A131" s="232" t="s">
        <v>204</v>
      </c>
      <c r="B131" s="230" t="s">
        <v>89</v>
      </c>
      <c r="C131" s="652">
        <v>0.9</v>
      </c>
      <c r="D131" s="652">
        <v>2</v>
      </c>
      <c r="E131" s="652">
        <v>0.9</v>
      </c>
      <c r="F131" s="652">
        <v>5</v>
      </c>
      <c r="G131" s="652">
        <v>1.25</v>
      </c>
      <c r="H131" s="652">
        <v>13</v>
      </c>
      <c r="I131" s="652">
        <v>1</v>
      </c>
      <c r="J131" s="652"/>
      <c r="K131" s="653"/>
      <c r="L131" s="621"/>
      <c r="M131" s="621"/>
      <c r="N131" s="621"/>
      <c r="O131" s="621"/>
    </row>
    <row r="132" spans="1:15" x14ac:dyDescent="0.35">
      <c r="A132" s="232" t="s">
        <v>205</v>
      </c>
      <c r="B132" s="230" t="s">
        <v>89</v>
      </c>
      <c r="C132" s="652">
        <v>0.9</v>
      </c>
      <c r="D132" s="652">
        <v>2</v>
      </c>
      <c r="E132" s="652">
        <v>0.9</v>
      </c>
      <c r="F132" s="652">
        <v>5</v>
      </c>
      <c r="G132" s="652">
        <v>1.25</v>
      </c>
      <c r="H132" s="652">
        <v>14</v>
      </c>
      <c r="I132" s="652">
        <v>1</v>
      </c>
      <c r="J132" s="652"/>
      <c r="K132" s="653"/>
      <c r="L132" s="621"/>
      <c r="M132" s="621"/>
      <c r="N132" s="621"/>
      <c r="O132" s="621"/>
    </row>
    <row r="133" spans="1:15" x14ac:dyDescent="0.35">
      <c r="A133" s="232" t="s">
        <v>206</v>
      </c>
      <c r="B133" s="230" t="s">
        <v>89</v>
      </c>
      <c r="C133" s="652">
        <v>0.9</v>
      </c>
      <c r="D133" s="652">
        <v>2</v>
      </c>
      <c r="E133" s="652">
        <v>0.9</v>
      </c>
      <c r="F133" s="652">
        <v>5</v>
      </c>
      <c r="G133" s="652">
        <v>-1.25</v>
      </c>
      <c r="H133" s="652">
        <v>13</v>
      </c>
      <c r="I133" s="652">
        <v>-1</v>
      </c>
      <c r="J133" s="652"/>
      <c r="K133" s="653"/>
      <c r="L133" s="621"/>
      <c r="M133" s="621"/>
      <c r="N133" s="621"/>
      <c r="O133" s="621"/>
    </row>
    <row r="134" spans="1:15" x14ac:dyDescent="0.35">
      <c r="A134" s="232" t="s">
        <v>207</v>
      </c>
      <c r="B134" s="230" t="s">
        <v>89</v>
      </c>
      <c r="C134" s="652">
        <v>0.9</v>
      </c>
      <c r="D134" s="652">
        <v>2</v>
      </c>
      <c r="E134" s="652">
        <v>0.9</v>
      </c>
      <c r="F134" s="652">
        <v>5</v>
      </c>
      <c r="G134" s="652">
        <v>-1.25</v>
      </c>
      <c r="H134" s="652">
        <v>14</v>
      </c>
      <c r="I134" s="652">
        <v>-1</v>
      </c>
      <c r="J134" s="652"/>
      <c r="K134" s="653"/>
      <c r="L134" s="621"/>
      <c r="M134" s="621"/>
      <c r="N134" s="621"/>
      <c r="O134" s="621"/>
    </row>
    <row r="135" spans="1:15" x14ac:dyDescent="0.35">
      <c r="A135" s="232" t="s">
        <v>100</v>
      </c>
      <c r="B135" s="230" t="s">
        <v>89</v>
      </c>
      <c r="C135" s="652">
        <v>1.25</v>
      </c>
      <c r="D135" s="652">
        <v>2</v>
      </c>
      <c r="E135" s="652">
        <v>1.25</v>
      </c>
      <c r="F135" s="652">
        <v>5</v>
      </c>
      <c r="G135" s="652">
        <v>1.25</v>
      </c>
      <c r="H135" s="652">
        <v>6</v>
      </c>
      <c r="I135" s="652">
        <v>0.625</v>
      </c>
      <c r="J135" s="652">
        <v>7</v>
      </c>
      <c r="K135" s="653">
        <v>0.5</v>
      </c>
      <c r="L135" s="621">
        <v>8</v>
      </c>
      <c r="M135" s="621">
        <v>0.5</v>
      </c>
      <c r="N135" s="621">
        <v>17</v>
      </c>
      <c r="O135" s="621">
        <v>1</v>
      </c>
    </row>
    <row r="136" spans="1:15" x14ac:dyDescent="0.35">
      <c r="A136" s="232" t="s">
        <v>102</v>
      </c>
      <c r="B136" s="230" t="s">
        <v>89</v>
      </c>
      <c r="C136" s="652">
        <v>1.25</v>
      </c>
      <c r="D136" s="652">
        <v>2</v>
      </c>
      <c r="E136" s="652">
        <v>1.25</v>
      </c>
      <c r="F136" s="652">
        <v>5</v>
      </c>
      <c r="G136" s="652">
        <v>1.25</v>
      </c>
      <c r="H136" s="652">
        <v>6</v>
      </c>
      <c r="I136" s="652">
        <v>0.625</v>
      </c>
      <c r="J136" s="652">
        <v>7</v>
      </c>
      <c r="K136" s="653">
        <v>0.5</v>
      </c>
      <c r="L136" s="621">
        <v>8</v>
      </c>
      <c r="M136" s="621">
        <v>0.5</v>
      </c>
      <c r="N136" s="621">
        <v>18</v>
      </c>
      <c r="O136" s="621">
        <v>1</v>
      </c>
    </row>
    <row r="137" spans="1:15" x14ac:dyDescent="0.35">
      <c r="A137" s="232" t="s">
        <v>104</v>
      </c>
      <c r="B137" s="230" t="s">
        <v>89</v>
      </c>
      <c r="C137" s="652">
        <v>1.25</v>
      </c>
      <c r="D137" s="652">
        <v>2</v>
      </c>
      <c r="E137" s="652">
        <v>1.25</v>
      </c>
      <c r="F137" s="652">
        <v>5</v>
      </c>
      <c r="G137" s="652">
        <v>-1.25</v>
      </c>
      <c r="H137" s="652">
        <v>6</v>
      </c>
      <c r="I137" s="652">
        <v>-0.625</v>
      </c>
      <c r="J137" s="652">
        <v>7</v>
      </c>
      <c r="K137" s="653">
        <v>0.5</v>
      </c>
      <c r="L137" s="621">
        <v>8</v>
      </c>
      <c r="M137" s="621">
        <v>0.5</v>
      </c>
      <c r="N137" s="621">
        <v>17</v>
      </c>
      <c r="O137" s="621">
        <v>-1</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3:S147"/>
  <sheetViews>
    <sheetView topLeftCell="A129" zoomScale="115" zoomScaleNormal="115" workbookViewId="0">
      <selection activeCell="B157" sqref="B157"/>
    </sheetView>
  </sheetViews>
  <sheetFormatPr defaultRowHeight="14.5" x14ac:dyDescent="0.35"/>
  <cols>
    <col min="2" max="2" width="47.1796875" style="50" customWidth="1"/>
    <col min="3" max="3" width="30.7265625" style="50" customWidth="1"/>
    <col min="4" max="4" width="8.7265625" style="50" customWidth="1"/>
    <col min="5" max="5" width="11.54296875" style="50" customWidth="1"/>
    <col min="6" max="16" width="8.7265625" style="50" customWidth="1"/>
    <col min="18" max="18" width="18.54296875" customWidth="1"/>
    <col min="19" max="19" width="14.54296875" customWidth="1"/>
  </cols>
  <sheetData>
    <row r="3" spans="2:10" ht="18.5" customHeight="1" x14ac:dyDescent="0.35">
      <c r="B3" s="1081" t="s">
        <v>0</v>
      </c>
      <c r="C3" s="1082"/>
    </row>
    <row r="4" spans="2:10" ht="20.5" customHeight="1" thickBot="1" x14ac:dyDescent="0.4"/>
    <row r="5" spans="2:10" ht="15" customHeight="1" thickBot="1" x14ac:dyDescent="0.4">
      <c r="B5" s="50" t="s">
        <v>1</v>
      </c>
      <c r="C5" s="50" t="s">
        <v>2</v>
      </c>
      <c r="E5" s="239" t="s">
        <v>3</v>
      </c>
      <c r="F5" s="240" t="s">
        <v>4</v>
      </c>
      <c r="G5" s="240"/>
      <c r="H5" s="241"/>
      <c r="I5" s="241"/>
      <c r="J5" s="242"/>
    </row>
    <row r="6" spans="2:10" ht="16" customHeight="1" x14ac:dyDescent="0.4">
      <c r="B6" s="50" t="s">
        <v>208</v>
      </c>
      <c r="C6" s="50" t="s">
        <v>209</v>
      </c>
      <c r="E6" s="243" t="s">
        <v>7</v>
      </c>
      <c r="F6" s="244" t="s">
        <v>8</v>
      </c>
      <c r="G6" s="245"/>
      <c r="H6" s="245"/>
      <c r="I6" s="245"/>
      <c r="J6" s="246"/>
    </row>
    <row r="7" spans="2:10" ht="19.5" customHeight="1" x14ac:dyDescent="0.4">
      <c r="B7" s="50" t="s">
        <v>210</v>
      </c>
      <c r="C7" s="50" t="s">
        <v>211</v>
      </c>
      <c r="E7" s="243" t="s">
        <v>11</v>
      </c>
      <c r="F7" s="244" t="s">
        <v>12</v>
      </c>
      <c r="G7" s="245"/>
      <c r="H7" s="245"/>
      <c r="I7" s="245"/>
      <c r="J7" s="246"/>
    </row>
    <row r="8" spans="2:10" ht="21" customHeight="1" x14ac:dyDescent="0.4">
      <c r="B8" s="50" t="s">
        <v>212</v>
      </c>
      <c r="C8" s="50" t="s">
        <v>213</v>
      </c>
      <c r="E8" s="243" t="s">
        <v>15</v>
      </c>
      <c r="F8" s="244" t="s">
        <v>16</v>
      </c>
      <c r="G8" s="245"/>
      <c r="H8" s="245"/>
      <c r="I8" s="245"/>
      <c r="J8" s="246"/>
    </row>
    <row r="9" spans="2:10" ht="20.25" customHeight="1" x14ac:dyDescent="0.4">
      <c r="B9" s="50" t="s">
        <v>214</v>
      </c>
      <c r="C9" s="50" t="s">
        <v>78</v>
      </c>
      <c r="E9" s="243" t="s">
        <v>19</v>
      </c>
      <c r="F9" s="244" t="s">
        <v>20</v>
      </c>
      <c r="G9" s="245"/>
      <c r="H9" s="245"/>
      <c r="I9" s="245"/>
      <c r="J9" s="246"/>
    </row>
    <row r="10" spans="2:10" ht="23.25" customHeight="1" x14ac:dyDescent="0.4">
      <c r="B10" s="50" t="s">
        <v>215</v>
      </c>
      <c r="C10" s="50" t="s">
        <v>38</v>
      </c>
      <c r="E10" s="243" t="s">
        <v>23</v>
      </c>
      <c r="F10" s="244" t="s">
        <v>24</v>
      </c>
      <c r="G10" s="245"/>
      <c r="H10" s="245"/>
      <c r="I10" s="245"/>
      <c r="J10" s="246"/>
    </row>
    <row r="11" spans="2:10" ht="20.25" customHeight="1" x14ac:dyDescent="0.4">
      <c r="B11" s="50" t="s">
        <v>216</v>
      </c>
      <c r="C11" s="50" t="s">
        <v>82</v>
      </c>
      <c r="E11" s="243" t="s">
        <v>27</v>
      </c>
      <c r="F11" s="244" t="s">
        <v>28</v>
      </c>
      <c r="G11" s="245"/>
      <c r="H11" s="245"/>
      <c r="I11" s="245"/>
      <c r="J11" s="246"/>
    </row>
    <row r="12" spans="2:10" ht="21" customHeight="1" x14ac:dyDescent="0.4">
      <c r="B12" s="50" t="s">
        <v>217</v>
      </c>
      <c r="C12" s="50" t="s">
        <v>54</v>
      </c>
      <c r="E12" s="243" t="s">
        <v>31</v>
      </c>
      <c r="F12" s="244" t="s">
        <v>32</v>
      </c>
      <c r="G12" s="245"/>
      <c r="H12" s="245"/>
      <c r="I12" s="245"/>
      <c r="J12" s="246"/>
    </row>
    <row r="13" spans="2:10" ht="23.25" customHeight="1" x14ac:dyDescent="0.4">
      <c r="E13" s="243" t="s">
        <v>35</v>
      </c>
      <c r="F13" s="244" t="s">
        <v>36</v>
      </c>
      <c r="G13" s="245"/>
      <c r="H13" s="245"/>
      <c r="I13" s="245"/>
      <c r="J13" s="246"/>
    </row>
    <row r="14" spans="2:10" ht="16" customHeight="1" x14ac:dyDescent="0.4">
      <c r="E14" s="243" t="s">
        <v>39</v>
      </c>
      <c r="F14" s="244" t="s">
        <v>40</v>
      </c>
      <c r="G14" s="245"/>
      <c r="H14" s="245"/>
      <c r="I14" s="245"/>
      <c r="J14" s="246"/>
    </row>
    <row r="15" spans="2:10" ht="16" customHeight="1" x14ac:dyDescent="0.4">
      <c r="E15" s="243" t="s">
        <v>43</v>
      </c>
      <c r="F15" s="244" t="s">
        <v>44</v>
      </c>
      <c r="G15" s="245"/>
      <c r="H15" s="245"/>
      <c r="I15" s="245"/>
      <c r="J15" s="246"/>
    </row>
    <row r="16" spans="2:10" ht="16" customHeight="1" x14ac:dyDescent="0.4">
      <c r="E16" s="243" t="s">
        <v>47</v>
      </c>
      <c r="F16" s="244" t="s">
        <v>48</v>
      </c>
      <c r="G16" s="245"/>
      <c r="H16" s="245"/>
      <c r="I16" s="245"/>
      <c r="J16" s="246"/>
    </row>
    <row r="17" spans="2:19" ht="16" customHeight="1" x14ac:dyDescent="0.4">
      <c r="E17" s="243" t="s">
        <v>51</v>
      </c>
      <c r="F17" s="244" t="s">
        <v>52</v>
      </c>
      <c r="G17" s="245"/>
      <c r="H17" s="245"/>
      <c r="I17" s="245"/>
      <c r="J17" s="246"/>
    </row>
    <row r="18" spans="2:19" ht="16" customHeight="1" x14ac:dyDescent="0.4">
      <c r="E18" s="243" t="s">
        <v>55</v>
      </c>
      <c r="F18" s="244" t="s">
        <v>56</v>
      </c>
      <c r="G18" s="245"/>
      <c r="H18" s="245"/>
      <c r="I18" s="245"/>
      <c r="J18" s="246"/>
    </row>
    <row r="19" spans="2:19" ht="16" customHeight="1" x14ac:dyDescent="0.4">
      <c r="E19" s="243" t="s">
        <v>59</v>
      </c>
      <c r="F19" s="244" t="s">
        <v>60</v>
      </c>
      <c r="G19" s="245"/>
      <c r="H19" s="245"/>
      <c r="I19" s="245"/>
      <c r="J19" s="246"/>
    </row>
    <row r="20" spans="2:19" ht="16" customHeight="1" x14ac:dyDescent="0.4">
      <c r="E20" s="243" t="s">
        <v>63</v>
      </c>
      <c r="F20" s="244" t="s">
        <v>64</v>
      </c>
      <c r="G20" s="245"/>
      <c r="H20" s="245"/>
      <c r="I20" s="245"/>
      <c r="J20" s="246"/>
    </row>
    <row r="21" spans="2:19" ht="16" customHeight="1" x14ac:dyDescent="0.4">
      <c r="E21" s="243" t="s">
        <v>67</v>
      </c>
      <c r="F21" s="244" t="s">
        <v>68</v>
      </c>
      <c r="G21" s="245"/>
      <c r="H21" s="245"/>
      <c r="I21" s="245"/>
      <c r="J21" s="246"/>
    </row>
    <row r="22" spans="2:19" ht="16" customHeight="1" x14ac:dyDescent="0.4">
      <c r="E22" s="243" t="s">
        <v>71</v>
      </c>
      <c r="F22" s="244" t="s">
        <v>72</v>
      </c>
      <c r="G22" s="245"/>
      <c r="H22" s="245"/>
      <c r="I22" s="245"/>
      <c r="J22" s="246"/>
    </row>
    <row r="23" spans="2:19" ht="16" customHeight="1" x14ac:dyDescent="0.4">
      <c r="E23" s="243" t="s">
        <v>75</v>
      </c>
      <c r="F23" s="244" t="s">
        <v>76</v>
      </c>
      <c r="G23" s="245"/>
      <c r="H23" s="245"/>
      <c r="I23" s="245"/>
      <c r="J23" s="246"/>
    </row>
    <row r="24" spans="2:19" ht="16.5" customHeight="1" thickBot="1" x14ac:dyDescent="0.45">
      <c r="E24" s="247" t="s">
        <v>79</v>
      </c>
      <c r="F24" s="248" t="s">
        <v>80</v>
      </c>
      <c r="G24" s="249"/>
      <c r="H24" s="249"/>
      <c r="I24" s="249"/>
      <c r="J24" s="250"/>
    </row>
    <row r="25" spans="2:19" x14ac:dyDescent="0.35">
      <c r="G25" s="1"/>
    </row>
    <row r="26" spans="2:19" x14ac:dyDescent="0.35">
      <c r="G26" s="1"/>
    </row>
    <row r="27" spans="2:19" x14ac:dyDescent="0.35">
      <c r="G27" s="1"/>
    </row>
    <row r="28" spans="2:19" ht="16" customHeight="1" x14ac:dyDescent="0.4">
      <c r="B28" s="1083" t="s">
        <v>83</v>
      </c>
      <c r="C28" s="650"/>
      <c r="G28" s="1"/>
    </row>
    <row r="29" spans="2:19" x14ac:dyDescent="0.35">
      <c r="B29" s="1084"/>
    </row>
    <row r="30" spans="2:19" ht="18" customHeight="1" x14ac:dyDescent="0.35">
      <c r="B30" s="232" t="s">
        <v>218</v>
      </c>
      <c r="C30" s="230" t="s">
        <v>85</v>
      </c>
    </row>
    <row r="31" spans="2:19" ht="21" customHeight="1" x14ac:dyDescent="0.35">
      <c r="B31" s="232" t="s">
        <v>219</v>
      </c>
      <c r="C31" s="230" t="s">
        <v>89</v>
      </c>
      <c r="D31" s="230" t="s">
        <v>86</v>
      </c>
      <c r="E31" s="230" t="s">
        <v>85</v>
      </c>
      <c r="F31" s="230" t="s">
        <v>86</v>
      </c>
      <c r="G31" s="230" t="s">
        <v>85</v>
      </c>
      <c r="H31" s="230" t="s">
        <v>86</v>
      </c>
      <c r="I31" s="230" t="s">
        <v>85</v>
      </c>
      <c r="J31" s="230" t="s">
        <v>86</v>
      </c>
      <c r="K31" s="230" t="s">
        <v>85</v>
      </c>
      <c r="L31" s="230" t="s">
        <v>86</v>
      </c>
      <c r="M31" s="230" t="s">
        <v>85</v>
      </c>
      <c r="N31" s="230" t="s">
        <v>86</v>
      </c>
      <c r="O31" s="230" t="s">
        <v>85</v>
      </c>
      <c r="P31" s="230" t="s">
        <v>86</v>
      </c>
      <c r="S31" s="1"/>
    </row>
    <row r="32" spans="2:19" x14ac:dyDescent="0.35">
      <c r="B32" s="232" t="s">
        <v>220</v>
      </c>
      <c r="C32" s="230" t="s">
        <v>89</v>
      </c>
      <c r="D32" s="230">
        <v>1</v>
      </c>
      <c r="E32" s="230">
        <v>2</v>
      </c>
      <c r="F32" s="230">
        <v>1</v>
      </c>
      <c r="G32" s="230">
        <v>5</v>
      </c>
      <c r="H32" s="230">
        <v>1</v>
      </c>
      <c r="I32" s="230">
        <v>17</v>
      </c>
      <c r="J32" s="230">
        <v>0.7</v>
      </c>
      <c r="K32" s="230"/>
      <c r="L32" s="231"/>
      <c r="M32" s="232"/>
      <c r="N32" s="232"/>
      <c r="O32" s="232"/>
      <c r="P32" s="232"/>
      <c r="R32" s="50"/>
      <c r="S32" s="50"/>
    </row>
    <row r="33" spans="2:19" x14ac:dyDescent="0.35">
      <c r="B33" s="232" t="s">
        <v>221</v>
      </c>
      <c r="C33" s="230" t="s">
        <v>89</v>
      </c>
      <c r="D33" s="230">
        <v>1</v>
      </c>
      <c r="E33" s="230">
        <v>2</v>
      </c>
      <c r="F33" s="230">
        <v>1</v>
      </c>
      <c r="G33" s="230">
        <v>5</v>
      </c>
      <c r="H33" s="230">
        <v>1</v>
      </c>
      <c r="I33" s="230">
        <v>18</v>
      </c>
      <c r="J33" s="230">
        <v>0.7</v>
      </c>
      <c r="K33" s="230"/>
      <c r="L33" s="231"/>
      <c r="M33" s="232"/>
      <c r="N33" s="232"/>
      <c r="O33" s="232"/>
      <c r="P33" s="232"/>
      <c r="R33" s="50"/>
      <c r="S33" s="50"/>
    </row>
    <row r="34" spans="2:19" x14ac:dyDescent="0.35">
      <c r="B34" s="232" t="s">
        <v>222</v>
      </c>
      <c r="C34" s="230" t="s">
        <v>89</v>
      </c>
      <c r="D34" s="230">
        <v>1</v>
      </c>
      <c r="E34" s="230">
        <v>2</v>
      </c>
      <c r="F34" s="230">
        <v>1</v>
      </c>
      <c r="G34" s="230">
        <v>5</v>
      </c>
      <c r="H34" s="230">
        <v>1</v>
      </c>
      <c r="I34" s="230">
        <v>17</v>
      </c>
      <c r="J34" s="230">
        <v>-0.7</v>
      </c>
      <c r="K34" s="230"/>
      <c r="L34" s="231"/>
      <c r="M34" s="232"/>
      <c r="N34" s="232"/>
      <c r="O34" s="232"/>
      <c r="P34" s="232"/>
      <c r="R34" s="50"/>
      <c r="S34" s="50"/>
    </row>
    <row r="35" spans="2:19" x14ac:dyDescent="0.35">
      <c r="B35" s="232" t="s">
        <v>223</v>
      </c>
      <c r="C35" s="230" t="s">
        <v>89</v>
      </c>
      <c r="D35" s="230">
        <v>1</v>
      </c>
      <c r="E35" s="230">
        <v>2</v>
      </c>
      <c r="F35" s="230">
        <v>1</v>
      </c>
      <c r="G35" s="230">
        <v>5</v>
      </c>
      <c r="H35" s="230">
        <v>1</v>
      </c>
      <c r="I35" s="230">
        <v>18</v>
      </c>
      <c r="J35" s="230">
        <v>-0.7</v>
      </c>
      <c r="K35" s="230"/>
      <c r="L35" s="231"/>
      <c r="M35" s="232"/>
      <c r="N35" s="232"/>
      <c r="O35" s="232"/>
      <c r="P35" s="232"/>
      <c r="R35" s="50"/>
      <c r="S35" s="50"/>
    </row>
    <row r="36" spans="2:19" x14ac:dyDescent="0.35">
      <c r="B36" s="232" t="s">
        <v>224</v>
      </c>
      <c r="C36" s="230" t="s">
        <v>89</v>
      </c>
      <c r="D36" s="230">
        <v>1</v>
      </c>
      <c r="E36" s="230">
        <v>2</v>
      </c>
      <c r="F36" s="230">
        <v>1</v>
      </c>
      <c r="G36" s="230">
        <v>5</v>
      </c>
      <c r="H36" s="230">
        <v>1</v>
      </c>
      <c r="I36" s="230">
        <v>6</v>
      </c>
      <c r="J36" s="230">
        <v>0.5</v>
      </c>
      <c r="K36" s="230">
        <v>17</v>
      </c>
      <c r="L36" s="231">
        <v>0.7</v>
      </c>
      <c r="M36" s="232"/>
      <c r="N36" s="232"/>
      <c r="O36" s="232"/>
      <c r="P36" s="232"/>
      <c r="R36" s="50"/>
      <c r="S36" s="50"/>
    </row>
    <row r="37" spans="2:19" x14ac:dyDescent="0.35">
      <c r="B37" s="232" t="s">
        <v>225</v>
      </c>
      <c r="C37" s="230" t="s">
        <v>89</v>
      </c>
      <c r="D37" s="230">
        <v>1</v>
      </c>
      <c r="E37" s="230">
        <v>2</v>
      </c>
      <c r="F37" s="230">
        <v>1</v>
      </c>
      <c r="G37" s="230">
        <v>5</v>
      </c>
      <c r="H37" s="230">
        <v>1</v>
      </c>
      <c r="I37" s="230">
        <v>6</v>
      </c>
      <c r="J37" s="230">
        <v>0.5</v>
      </c>
      <c r="K37" s="230">
        <v>18</v>
      </c>
      <c r="L37" s="231">
        <v>0.7</v>
      </c>
      <c r="M37" s="232"/>
      <c r="N37" s="232"/>
      <c r="O37" s="232"/>
      <c r="P37" s="232"/>
      <c r="R37" s="50"/>
      <c r="S37" s="50"/>
    </row>
    <row r="38" spans="2:19" x14ac:dyDescent="0.35">
      <c r="B38" s="232" t="s">
        <v>226</v>
      </c>
      <c r="C38" s="230" t="s">
        <v>89</v>
      </c>
      <c r="D38" s="230">
        <v>1</v>
      </c>
      <c r="E38" s="230">
        <v>2</v>
      </c>
      <c r="F38" s="230">
        <v>1</v>
      </c>
      <c r="G38" s="230">
        <v>5</v>
      </c>
      <c r="H38" s="230">
        <v>-1</v>
      </c>
      <c r="I38" s="230">
        <v>6</v>
      </c>
      <c r="J38" s="230">
        <v>-0.5</v>
      </c>
      <c r="K38" s="230">
        <v>17</v>
      </c>
      <c r="L38" s="231">
        <v>-0.7</v>
      </c>
      <c r="M38" s="232"/>
      <c r="N38" s="232"/>
      <c r="O38" s="232"/>
      <c r="P38" s="232"/>
      <c r="R38" s="50"/>
      <c r="S38" s="50"/>
    </row>
    <row r="39" spans="2:19" x14ac:dyDescent="0.35">
      <c r="B39" s="232" t="s">
        <v>227</v>
      </c>
      <c r="C39" s="230" t="s">
        <v>89</v>
      </c>
      <c r="D39" s="230">
        <v>1</v>
      </c>
      <c r="E39" s="230">
        <v>2</v>
      </c>
      <c r="F39" s="230">
        <v>1</v>
      </c>
      <c r="G39" s="230">
        <v>5</v>
      </c>
      <c r="H39" s="230">
        <v>-1</v>
      </c>
      <c r="I39" s="230">
        <v>6</v>
      </c>
      <c r="J39" s="230">
        <v>-0.5</v>
      </c>
      <c r="K39" s="230">
        <v>18</v>
      </c>
      <c r="L39" s="231">
        <v>-0.7</v>
      </c>
      <c r="M39" s="232"/>
      <c r="N39" s="232"/>
      <c r="O39" s="232"/>
      <c r="P39" s="232"/>
      <c r="R39" s="50"/>
      <c r="S39" s="50"/>
    </row>
    <row r="40" spans="2:19" x14ac:dyDescent="0.35">
      <c r="B40" s="232" t="s">
        <v>228</v>
      </c>
      <c r="C40" s="230" t="s">
        <v>89</v>
      </c>
      <c r="D40" s="230">
        <v>1</v>
      </c>
      <c r="E40" s="230">
        <v>2</v>
      </c>
      <c r="F40" s="230">
        <v>1</v>
      </c>
      <c r="G40" s="230">
        <v>5</v>
      </c>
      <c r="H40" s="230">
        <v>1</v>
      </c>
      <c r="I40" s="230">
        <v>7</v>
      </c>
      <c r="J40" s="230">
        <v>1</v>
      </c>
      <c r="K40" s="230">
        <v>17</v>
      </c>
      <c r="L40" s="231">
        <v>0.52500000000000002</v>
      </c>
      <c r="M40" s="232"/>
      <c r="N40" s="232"/>
      <c r="O40" s="232"/>
      <c r="P40" s="232"/>
      <c r="R40" s="50"/>
      <c r="S40" s="50"/>
    </row>
    <row r="41" spans="2:19" x14ac:dyDescent="0.35">
      <c r="B41" s="232" t="s">
        <v>229</v>
      </c>
      <c r="C41" s="230" t="s">
        <v>89</v>
      </c>
      <c r="D41" s="230">
        <v>1</v>
      </c>
      <c r="E41" s="230">
        <v>2</v>
      </c>
      <c r="F41" s="230">
        <v>1</v>
      </c>
      <c r="G41" s="230">
        <v>5</v>
      </c>
      <c r="H41" s="230">
        <v>1</v>
      </c>
      <c r="I41" s="230">
        <v>7</v>
      </c>
      <c r="J41" s="230">
        <v>1</v>
      </c>
      <c r="K41" s="230">
        <v>18</v>
      </c>
      <c r="L41" s="231">
        <v>0.52500000000000002</v>
      </c>
      <c r="M41" s="232"/>
      <c r="N41" s="232"/>
      <c r="O41" s="232"/>
      <c r="P41" s="232"/>
      <c r="R41" s="50"/>
      <c r="S41" s="50"/>
    </row>
    <row r="42" spans="2:19" x14ac:dyDescent="0.35">
      <c r="B42" s="232" t="s">
        <v>230</v>
      </c>
      <c r="C42" s="230" t="s">
        <v>89</v>
      </c>
      <c r="D42" s="230">
        <v>1</v>
      </c>
      <c r="E42" s="230">
        <v>2</v>
      </c>
      <c r="F42" s="230">
        <v>1</v>
      </c>
      <c r="G42" s="230">
        <v>5</v>
      </c>
      <c r="H42" s="230">
        <v>-1</v>
      </c>
      <c r="I42" s="230">
        <v>7</v>
      </c>
      <c r="J42" s="230">
        <v>1</v>
      </c>
      <c r="K42" s="230">
        <v>17</v>
      </c>
      <c r="L42" s="231">
        <v>-0.52500000000000002</v>
      </c>
      <c r="M42" s="232"/>
      <c r="N42" s="232"/>
      <c r="O42" s="232"/>
      <c r="P42" s="232"/>
      <c r="R42" s="50"/>
      <c r="S42" s="50"/>
    </row>
    <row r="43" spans="2:19" x14ac:dyDescent="0.35">
      <c r="B43" s="232" t="s">
        <v>231</v>
      </c>
      <c r="C43" s="230" t="s">
        <v>89</v>
      </c>
      <c r="D43" s="230">
        <v>1</v>
      </c>
      <c r="E43" s="230">
        <v>2</v>
      </c>
      <c r="F43" s="230">
        <v>1</v>
      </c>
      <c r="G43" s="230">
        <v>5</v>
      </c>
      <c r="H43" s="230">
        <v>-1</v>
      </c>
      <c r="I43" s="230">
        <v>7</v>
      </c>
      <c r="J43" s="230">
        <v>1</v>
      </c>
      <c r="K43" s="230">
        <v>18</v>
      </c>
      <c r="L43" s="231">
        <v>-0.52500000000000002</v>
      </c>
      <c r="M43" s="232"/>
      <c r="N43" s="232"/>
      <c r="O43" s="232"/>
      <c r="P43" s="232"/>
      <c r="R43" s="50"/>
      <c r="S43" s="50"/>
    </row>
    <row r="44" spans="2:19" x14ac:dyDescent="0.35">
      <c r="B44" s="232" t="s">
        <v>232</v>
      </c>
      <c r="C44" s="232" t="s">
        <v>89</v>
      </c>
      <c r="D44" s="230">
        <v>1</v>
      </c>
      <c r="E44" s="230">
        <v>2</v>
      </c>
      <c r="F44" s="230">
        <v>1</v>
      </c>
      <c r="G44" s="230">
        <v>5</v>
      </c>
      <c r="H44" s="230">
        <v>1</v>
      </c>
      <c r="I44" s="230">
        <v>8</v>
      </c>
      <c r="J44" s="230">
        <v>1</v>
      </c>
      <c r="K44" s="230">
        <v>17</v>
      </c>
      <c r="L44" s="231">
        <v>0.7</v>
      </c>
      <c r="M44" s="232"/>
      <c r="N44" s="232"/>
      <c r="O44" s="232"/>
      <c r="P44" s="232"/>
      <c r="R44" s="50"/>
      <c r="S44" s="50"/>
    </row>
    <row r="45" spans="2:19" x14ac:dyDescent="0.35">
      <c r="B45" s="232" t="s">
        <v>233</v>
      </c>
      <c r="C45" s="232" t="s">
        <v>89</v>
      </c>
      <c r="D45" s="232">
        <v>1</v>
      </c>
      <c r="E45" s="232">
        <v>2</v>
      </c>
      <c r="F45" s="232">
        <v>1</v>
      </c>
      <c r="G45" s="232">
        <v>5</v>
      </c>
      <c r="H45" s="232">
        <v>1</v>
      </c>
      <c r="I45" s="232">
        <v>8</v>
      </c>
      <c r="J45" s="232">
        <v>1</v>
      </c>
      <c r="K45" s="232">
        <v>18</v>
      </c>
      <c r="L45" s="232">
        <v>0.7</v>
      </c>
      <c r="M45" s="232"/>
      <c r="N45" s="232"/>
      <c r="O45" s="232"/>
      <c r="P45" s="232"/>
      <c r="R45" s="50"/>
      <c r="S45" s="50"/>
    </row>
    <row r="46" spans="2:19" x14ac:dyDescent="0.35">
      <c r="B46" s="232" t="s">
        <v>234</v>
      </c>
      <c r="C46" s="232" t="s">
        <v>89</v>
      </c>
      <c r="D46" s="232">
        <v>1</v>
      </c>
      <c r="E46" s="232">
        <v>2</v>
      </c>
      <c r="F46" s="232">
        <v>1</v>
      </c>
      <c r="G46" s="232">
        <v>5</v>
      </c>
      <c r="H46" s="232">
        <v>-1</v>
      </c>
      <c r="I46" s="232">
        <v>8</v>
      </c>
      <c r="J46" s="232">
        <v>1</v>
      </c>
      <c r="K46" s="232">
        <v>17</v>
      </c>
      <c r="L46" s="232">
        <v>-0.7</v>
      </c>
      <c r="M46" s="232"/>
      <c r="N46" s="232"/>
      <c r="O46" s="232"/>
      <c r="P46" s="232"/>
      <c r="R46" s="50"/>
      <c r="S46" s="50"/>
    </row>
    <row r="47" spans="2:19" x14ac:dyDescent="0.35">
      <c r="B47" s="232" t="s">
        <v>235</v>
      </c>
      <c r="C47" s="232" t="s">
        <v>89</v>
      </c>
      <c r="D47" s="232">
        <v>1</v>
      </c>
      <c r="E47" s="232">
        <v>2</v>
      </c>
      <c r="F47" s="232">
        <v>1</v>
      </c>
      <c r="G47" s="232">
        <v>5</v>
      </c>
      <c r="H47" s="232">
        <v>-1</v>
      </c>
      <c r="I47" s="232">
        <v>8</v>
      </c>
      <c r="J47" s="232">
        <v>1</v>
      </c>
      <c r="K47" s="232">
        <v>18</v>
      </c>
      <c r="L47" s="232">
        <v>-0.7</v>
      </c>
      <c r="M47" s="232"/>
      <c r="N47" s="232"/>
      <c r="O47" s="232"/>
      <c r="P47" s="232"/>
      <c r="R47" s="50"/>
      <c r="S47" s="50"/>
    </row>
    <row r="48" spans="2:19" x14ac:dyDescent="0.35">
      <c r="B48" s="232" t="s">
        <v>236</v>
      </c>
      <c r="C48" s="232" t="s">
        <v>89</v>
      </c>
      <c r="D48" s="232">
        <v>1</v>
      </c>
      <c r="E48" s="232">
        <v>2</v>
      </c>
      <c r="F48" s="232">
        <v>1</v>
      </c>
      <c r="G48" s="232">
        <v>5</v>
      </c>
      <c r="H48" s="232">
        <v>1</v>
      </c>
      <c r="I48" s="232">
        <v>6</v>
      </c>
      <c r="J48" s="232">
        <v>0.375</v>
      </c>
      <c r="K48" s="232">
        <v>7</v>
      </c>
      <c r="L48" s="232">
        <v>1</v>
      </c>
      <c r="M48" s="232">
        <v>8</v>
      </c>
      <c r="N48" s="232">
        <v>0.35</v>
      </c>
      <c r="O48" s="232">
        <v>17</v>
      </c>
      <c r="P48" s="232">
        <v>0.52500000000000002</v>
      </c>
      <c r="R48" s="50"/>
      <c r="S48" s="50"/>
    </row>
    <row r="49" spans="2:19" x14ac:dyDescent="0.35">
      <c r="B49" s="232" t="s">
        <v>237</v>
      </c>
      <c r="C49" s="232" t="s">
        <v>89</v>
      </c>
      <c r="D49" s="232">
        <v>1</v>
      </c>
      <c r="E49" s="232">
        <v>2</v>
      </c>
      <c r="F49" s="232">
        <v>1</v>
      </c>
      <c r="G49" s="232">
        <v>5</v>
      </c>
      <c r="H49" s="232">
        <v>1</v>
      </c>
      <c r="I49" s="232">
        <v>6</v>
      </c>
      <c r="J49" s="232">
        <v>0.375</v>
      </c>
      <c r="K49" s="232">
        <v>7</v>
      </c>
      <c r="L49" s="232">
        <v>1</v>
      </c>
      <c r="M49" s="232">
        <v>8</v>
      </c>
      <c r="N49" s="232">
        <v>0.35</v>
      </c>
      <c r="O49" s="232">
        <v>18</v>
      </c>
      <c r="P49" s="232">
        <v>0.52500000000000002</v>
      </c>
      <c r="R49" s="50"/>
      <c r="S49" s="50"/>
    </row>
    <row r="50" spans="2:19" x14ac:dyDescent="0.35">
      <c r="B50" s="232" t="s">
        <v>238</v>
      </c>
      <c r="C50" s="232" t="s">
        <v>89</v>
      </c>
      <c r="D50" s="232">
        <v>1</v>
      </c>
      <c r="E50" s="232">
        <v>2</v>
      </c>
      <c r="F50" s="232">
        <v>1</v>
      </c>
      <c r="G50" s="232">
        <v>5</v>
      </c>
      <c r="H50" s="232">
        <v>-1</v>
      </c>
      <c r="I50" s="232">
        <v>6</v>
      </c>
      <c r="J50" s="232">
        <v>-0.375</v>
      </c>
      <c r="K50" s="232">
        <v>7</v>
      </c>
      <c r="L50" s="232">
        <v>1</v>
      </c>
      <c r="M50" s="232">
        <v>8</v>
      </c>
      <c r="N50" s="232">
        <v>0.35</v>
      </c>
      <c r="O50" s="232">
        <v>17</v>
      </c>
      <c r="P50" s="232">
        <v>-0.52500000000000002</v>
      </c>
      <c r="R50" s="50"/>
      <c r="S50" s="50"/>
    </row>
    <row r="51" spans="2:19" x14ac:dyDescent="0.35">
      <c r="B51" s="232" t="s">
        <v>239</v>
      </c>
      <c r="C51" s="232" t="s">
        <v>89</v>
      </c>
      <c r="D51" s="232">
        <v>1</v>
      </c>
      <c r="E51" s="232">
        <v>2</v>
      </c>
      <c r="F51" s="232">
        <v>1</v>
      </c>
      <c r="G51" s="232">
        <v>5</v>
      </c>
      <c r="H51" s="232">
        <v>-1</v>
      </c>
      <c r="I51" s="232">
        <v>6</v>
      </c>
      <c r="J51" s="232">
        <v>-0.375</v>
      </c>
      <c r="K51" s="232">
        <v>7</v>
      </c>
      <c r="L51" s="232">
        <v>1</v>
      </c>
      <c r="M51" s="232">
        <v>8</v>
      </c>
      <c r="N51" s="232">
        <v>0.35</v>
      </c>
      <c r="O51" s="232">
        <v>18</v>
      </c>
      <c r="P51" s="232">
        <v>-0.52500000000000002</v>
      </c>
      <c r="R51" s="50"/>
      <c r="S51" s="50"/>
    </row>
    <row r="52" spans="2:19" x14ac:dyDescent="0.35">
      <c r="B52" s="232" t="s">
        <v>240</v>
      </c>
      <c r="C52" s="232" t="s">
        <v>89</v>
      </c>
      <c r="D52" s="232">
        <v>1</v>
      </c>
      <c r="E52" s="232">
        <v>2</v>
      </c>
      <c r="F52" s="232">
        <v>1</v>
      </c>
      <c r="G52" s="232">
        <v>5</v>
      </c>
      <c r="H52" s="232">
        <v>1</v>
      </c>
      <c r="I52" s="232">
        <v>6</v>
      </c>
      <c r="J52" s="232">
        <v>0.375</v>
      </c>
      <c r="K52" s="232">
        <v>7</v>
      </c>
      <c r="L52" s="232">
        <v>0.35</v>
      </c>
      <c r="M52" s="232">
        <v>8</v>
      </c>
      <c r="N52" s="232">
        <v>1</v>
      </c>
      <c r="O52" s="232">
        <v>17</v>
      </c>
      <c r="P52" s="232">
        <v>0.52500000000000002</v>
      </c>
      <c r="R52" s="50"/>
      <c r="S52" s="50"/>
    </row>
    <row r="53" spans="2:19" x14ac:dyDescent="0.35">
      <c r="B53" s="232" t="s">
        <v>241</v>
      </c>
      <c r="C53" s="232" t="s">
        <v>89</v>
      </c>
      <c r="D53" s="232">
        <v>1</v>
      </c>
      <c r="E53" s="232">
        <v>2</v>
      </c>
      <c r="F53" s="232">
        <v>1</v>
      </c>
      <c r="G53" s="232">
        <v>5</v>
      </c>
      <c r="H53" s="232">
        <v>1</v>
      </c>
      <c r="I53" s="232">
        <v>6</v>
      </c>
      <c r="J53" s="232">
        <v>0.375</v>
      </c>
      <c r="K53" s="232">
        <v>7</v>
      </c>
      <c r="L53" s="232">
        <v>0.35</v>
      </c>
      <c r="M53" s="232">
        <v>8</v>
      </c>
      <c r="N53" s="232">
        <v>1</v>
      </c>
      <c r="O53" s="232">
        <v>18</v>
      </c>
      <c r="P53" s="232">
        <v>0.52500000000000002</v>
      </c>
      <c r="R53" s="50"/>
      <c r="S53" s="50"/>
    </row>
    <row r="54" spans="2:19" x14ac:dyDescent="0.35">
      <c r="B54" s="232" t="s">
        <v>242</v>
      </c>
      <c r="C54" s="232" t="s">
        <v>89</v>
      </c>
      <c r="D54" s="232">
        <v>1</v>
      </c>
      <c r="E54" s="232">
        <v>2</v>
      </c>
      <c r="F54" s="232">
        <v>1</v>
      </c>
      <c r="G54" s="232">
        <v>5</v>
      </c>
      <c r="H54" s="232">
        <v>-1</v>
      </c>
      <c r="I54" s="232">
        <v>6</v>
      </c>
      <c r="J54" s="232">
        <v>-0.375</v>
      </c>
      <c r="K54" s="232">
        <v>7</v>
      </c>
      <c r="L54" s="232">
        <v>0.35</v>
      </c>
      <c r="M54" s="232">
        <v>8</v>
      </c>
      <c r="N54" s="232">
        <v>1</v>
      </c>
      <c r="O54" s="232">
        <v>17</v>
      </c>
      <c r="P54" s="232">
        <v>-0.52500000000000002</v>
      </c>
      <c r="R54" s="50"/>
      <c r="S54" s="50"/>
    </row>
    <row r="55" spans="2:19" x14ac:dyDescent="0.35">
      <c r="B55" s="232" t="s">
        <v>243</v>
      </c>
      <c r="C55" s="232" t="s">
        <v>89</v>
      </c>
      <c r="D55" s="232">
        <v>1</v>
      </c>
      <c r="E55" s="232">
        <v>2</v>
      </c>
      <c r="F55" s="232">
        <v>1</v>
      </c>
      <c r="G55" s="232">
        <v>5</v>
      </c>
      <c r="H55" s="232">
        <v>-1</v>
      </c>
      <c r="I55" s="232">
        <v>6</v>
      </c>
      <c r="J55" s="232">
        <v>-0.375</v>
      </c>
      <c r="K55" s="232">
        <v>7</v>
      </c>
      <c r="L55" s="232">
        <v>0.35</v>
      </c>
      <c r="M55" s="232">
        <v>8</v>
      </c>
      <c r="N55" s="232">
        <v>1</v>
      </c>
      <c r="O55" s="232">
        <v>18</v>
      </c>
      <c r="P55" s="232">
        <v>-0.52500000000000002</v>
      </c>
      <c r="R55" s="50"/>
      <c r="S55" s="50"/>
    </row>
    <row r="56" spans="2:19" x14ac:dyDescent="0.35">
      <c r="B56" s="232" t="s">
        <v>244</v>
      </c>
      <c r="C56" s="232" t="s">
        <v>89</v>
      </c>
      <c r="D56" s="232">
        <v>1</v>
      </c>
      <c r="E56" s="232">
        <v>2</v>
      </c>
      <c r="F56" s="232">
        <v>1</v>
      </c>
      <c r="G56" s="232">
        <v>5</v>
      </c>
      <c r="H56" s="232">
        <v>1</v>
      </c>
      <c r="I56" s="232">
        <v>9</v>
      </c>
      <c r="J56" s="232">
        <v>1</v>
      </c>
      <c r="K56" s="232">
        <v>25</v>
      </c>
      <c r="L56" s="232">
        <v>1</v>
      </c>
      <c r="M56" s="232"/>
      <c r="N56" s="232"/>
      <c r="O56" s="232"/>
      <c r="P56" s="232"/>
      <c r="R56" s="50"/>
      <c r="S56" s="50"/>
    </row>
    <row r="57" spans="2:19" x14ac:dyDescent="0.35">
      <c r="B57" s="232" t="s">
        <v>245</v>
      </c>
      <c r="C57" s="232" t="s">
        <v>89</v>
      </c>
      <c r="D57" s="232">
        <v>1</v>
      </c>
      <c r="E57" s="232">
        <v>2</v>
      </c>
      <c r="F57" s="232">
        <v>1</v>
      </c>
      <c r="G57" s="232">
        <v>5</v>
      </c>
      <c r="H57" s="232">
        <v>1</v>
      </c>
      <c r="I57" s="232">
        <v>10</v>
      </c>
      <c r="J57" s="232">
        <v>1</v>
      </c>
      <c r="K57" s="232">
        <v>25</v>
      </c>
      <c r="L57" s="232">
        <v>1</v>
      </c>
      <c r="M57" s="232"/>
      <c r="N57" s="232"/>
      <c r="O57" s="232"/>
      <c r="P57" s="232"/>
      <c r="R57" s="50"/>
      <c r="S57" s="50"/>
    </row>
    <row r="58" spans="2:19" x14ac:dyDescent="0.35">
      <c r="B58" s="232" t="s">
        <v>246</v>
      </c>
      <c r="C58" s="232" t="s">
        <v>89</v>
      </c>
      <c r="D58" s="232">
        <v>1</v>
      </c>
      <c r="E58" s="232">
        <v>2</v>
      </c>
      <c r="F58" s="232">
        <v>1</v>
      </c>
      <c r="G58" s="232">
        <v>5</v>
      </c>
      <c r="H58" s="232">
        <v>-1</v>
      </c>
      <c r="I58" s="232">
        <v>9</v>
      </c>
      <c r="J58" s="232">
        <v>-1</v>
      </c>
      <c r="K58" s="232">
        <v>25</v>
      </c>
      <c r="L58" s="232">
        <v>1</v>
      </c>
      <c r="M58" s="232"/>
      <c r="N58" s="232"/>
      <c r="O58" s="232"/>
      <c r="P58" s="232"/>
      <c r="R58" s="50"/>
      <c r="S58" s="50"/>
    </row>
    <row r="59" spans="2:19" x14ac:dyDescent="0.35">
      <c r="B59" s="232" t="s">
        <v>247</v>
      </c>
      <c r="C59" s="232" t="s">
        <v>89</v>
      </c>
      <c r="D59" s="232">
        <v>1</v>
      </c>
      <c r="E59" s="232">
        <v>2</v>
      </c>
      <c r="F59" s="232">
        <v>1</v>
      </c>
      <c r="G59" s="232">
        <v>5</v>
      </c>
      <c r="H59" s="232">
        <v>-1</v>
      </c>
      <c r="I59" s="232">
        <v>10</v>
      </c>
      <c r="J59" s="232">
        <v>-1</v>
      </c>
      <c r="K59" s="232">
        <v>25</v>
      </c>
      <c r="L59" s="232">
        <v>1</v>
      </c>
      <c r="M59" s="232"/>
      <c r="N59" s="232"/>
      <c r="O59" s="232"/>
      <c r="P59" s="232"/>
    </row>
    <row r="60" spans="2:19" x14ac:dyDescent="0.35">
      <c r="B60" s="232" t="s">
        <v>248</v>
      </c>
      <c r="C60" s="232" t="s">
        <v>89</v>
      </c>
      <c r="D60" s="232">
        <v>1</v>
      </c>
      <c r="E60" s="232">
        <v>2</v>
      </c>
      <c r="F60" s="232">
        <v>1</v>
      </c>
      <c r="G60" s="232">
        <v>5</v>
      </c>
      <c r="H60" s="232">
        <v>1</v>
      </c>
      <c r="I60" s="232">
        <v>23</v>
      </c>
      <c r="J60" s="232">
        <v>1</v>
      </c>
      <c r="K60" s="232">
        <v>25</v>
      </c>
      <c r="L60" s="232">
        <v>1</v>
      </c>
      <c r="M60" s="232"/>
      <c r="N60" s="232"/>
      <c r="O60" s="232"/>
      <c r="P60" s="232"/>
    </row>
    <row r="61" spans="2:19" x14ac:dyDescent="0.35">
      <c r="B61" s="232" t="s">
        <v>249</v>
      </c>
      <c r="C61" s="232" t="s">
        <v>89</v>
      </c>
      <c r="D61" s="232">
        <v>1</v>
      </c>
      <c r="E61" s="232">
        <v>2</v>
      </c>
      <c r="F61" s="232">
        <v>1</v>
      </c>
      <c r="G61" s="232">
        <v>5</v>
      </c>
      <c r="H61" s="232">
        <v>1</v>
      </c>
      <c r="I61" s="232">
        <v>24</v>
      </c>
      <c r="J61" s="232">
        <v>1</v>
      </c>
      <c r="K61" s="232">
        <v>25</v>
      </c>
      <c r="L61" s="232">
        <v>1</v>
      </c>
      <c r="M61" s="232"/>
      <c r="N61" s="232"/>
      <c r="O61" s="232"/>
      <c r="P61" s="232"/>
    </row>
    <row r="62" spans="2:19" x14ac:dyDescent="0.35">
      <c r="B62" s="232" t="s">
        <v>250</v>
      </c>
      <c r="C62" s="232" t="s">
        <v>89</v>
      </c>
      <c r="D62" s="232">
        <v>1</v>
      </c>
      <c r="E62" s="232">
        <v>2</v>
      </c>
      <c r="F62" s="232">
        <v>1</v>
      </c>
      <c r="G62" s="232">
        <v>5</v>
      </c>
      <c r="H62" s="232">
        <v>-1</v>
      </c>
      <c r="I62" s="232">
        <v>23</v>
      </c>
      <c r="J62" s="232">
        <v>-1</v>
      </c>
      <c r="K62" s="232">
        <v>25</v>
      </c>
      <c r="L62" s="232">
        <v>1</v>
      </c>
      <c r="M62" s="232"/>
      <c r="N62" s="232"/>
      <c r="O62" s="232"/>
      <c r="P62" s="232"/>
    </row>
    <row r="63" spans="2:19" x14ac:dyDescent="0.35">
      <c r="B63" s="232" t="s">
        <v>251</v>
      </c>
      <c r="C63" s="232" t="s">
        <v>89</v>
      </c>
      <c r="D63" s="232">
        <v>1</v>
      </c>
      <c r="E63" s="232">
        <v>2</v>
      </c>
      <c r="F63" s="232">
        <v>1</v>
      </c>
      <c r="G63" s="232">
        <v>5</v>
      </c>
      <c r="H63" s="232">
        <v>-1</v>
      </c>
      <c r="I63" s="232">
        <v>24</v>
      </c>
      <c r="J63" s="232">
        <v>-1</v>
      </c>
      <c r="K63" s="232">
        <v>25</v>
      </c>
      <c r="L63" s="232">
        <v>1</v>
      </c>
      <c r="M63" s="232"/>
      <c r="N63" s="232"/>
      <c r="O63" s="232"/>
      <c r="P63" s="232"/>
    </row>
    <row r="64" spans="2:19" x14ac:dyDescent="0.35">
      <c r="B64" s="232" t="s">
        <v>252</v>
      </c>
      <c r="C64" s="232" t="s">
        <v>89</v>
      </c>
      <c r="D64" s="232">
        <v>1</v>
      </c>
      <c r="E64" s="232">
        <v>2</v>
      </c>
      <c r="F64" s="232">
        <v>1</v>
      </c>
      <c r="G64" s="232">
        <v>5</v>
      </c>
      <c r="H64" s="232">
        <v>1</v>
      </c>
      <c r="I64" s="232">
        <v>9</v>
      </c>
      <c r="J64" s="232">
        <v>1</v>
      </c>
      <c r="K64" s="232">
        <v>25</v>
      </c>
      <c r="L64" s="232">
        <v>-1</v>
      </c>
      <c r="M64" s="232"/>
      <c r="N64" s="232"/>
      <c r="O64" s="232"/>
      <c r="P64" s="232"/>
    </row>
    <row r="65" spans="2:16" x14ac:dyDescent="0.35">
      <c r="B65" s="232" t="s">
        <v>253</v>
      </c>
      <c r="C65" s="232" t="s">
        <v>89</v>
      </c>
      <c r="D65" s="232">
        <v>1</v>
      </c>
      <c r="E65" s="232">
        <v>2</v>
      </c>
      <c r="F65" s="232">
        <v>1</v>
      </c>
      <c r="G65" s="232">
        <v>5</v>
      </c>
      <c r="H65" s="232">
        <v>1</v>
      </c>
      <c r="I65" s="232">
        <v>10</v>
      </c>
      <c r="J65" s="232">
        <v>1</v>
      </c>
      <c r="K65" s="232">
        <v>25</v>
      </c>
      <c r="L65" s="232">
        <v>-1</v>
      </c>
      <c r="M65" s="232"/>
      <c r="N65" s="232"/>
      <c r="O65" s="232"/>
      <c r="P65" s="232"/>
    </row>
    <row r="66" spans="2:16" x14ac:dyDescent="0.35">
      <c r="B66" s="232" t="s">
        <v>254</v>
      </c>
      <c r="C66" s="232" t="s">
        <v>89</v>
      </c>
      <c r="D66" s="232">
        <v>1</v>
      </c>
      <c r="E66" s="232">
        <v>2</v>
      </c>
      <c r="F66" s="232">
        <v>1</v>
      </c>
      <c r="G66" s="232">
        <v>5</v>
      </c>
      <c r="H66" s="232">
        <v>-1</v>
      </c>
      <c r="I66" s="232">
        <v>9</v>
      </c>
      <c r="J66" s="232">
        <v>-1</v>
      </c>
      <c r="K66" s="232">
        <v>25</v>
      </c>
      <c r="L66" s="232">
        <v>-1</v>
      </c>
      <c r="M66" s="232"/>
      <c r="N66" s="232"/>
      <c r="O66" s="232"/>
      <c r="P66" s="232"/>
    </row>
    <row r="67" spans="2:16" x14ac:dyDescent="0.35">
      <c r="B67" s="232" t="s">
        <v>255</v>
      </c>
      <c r="C67" s="232" t="s">
        <v>89</v>
      </c>
      <c r="D67" s="232">
        <v>1</v>
      </c>
      <c r="E67" s="232">
        <v>2</v>
      </c>
      <c r="F67" s="232">
        <v>1</v>
      </c>
      <c r="G67" s="232">
        <v>5</v>
      </c>
      <c r="H67" s="232">
        <v>-1</v>
      </c>
      <c r="I67" s="232">
        <v>10</v>
      </c>
      <c r="J67" s="232">
        <v>-1</v>
      </c>
      <c r="K67" s="232">
        <v>25</v>
      </c>
      <c r="L67" s="232">
        <v>-1</v>
      </c>
      <c r="M67" s="232"/>
      <c r="N67" s="232"/>
      <c r="O67" s="232"/>
      <c r="P67" s="232"/>
    </row>
    <row r="68" spans="2:16" x14ac:dyDescent="0.35">
      <c r="B68" s="232" t="s">
        <v>256</v>
      </c>
      <c r="C68" s="232" t="s">
        <v>89</v>
      </c>
      <c r="D68" s="232">
        <v>1</v>
      </c>
      <c r="E68" s="232">
        <v>2</v>
      </c>
      <c r="F68" s="232">
        <v>1</v>
      </c>
      <c r="G68" s="232">
        <v>5</v>
      </c>
      <c r="H68" s="232">
        <v>1</v>
      </c>
      <c r="I68" s="232">
        <v>23</v>
      </c>
      <c r="J68" s="232">
        <v>1</v>
      </c>
      <c r="K68" s="232">
        <v>25</v>
      </c>
      <c r="L68" s="232">
        <v>-1</v>
      </c>
      <c r="M68" s="232"/>
      <c r="N68" s="232"/>
      <c r="O68" s="232"/>
      <c r="P68" s="232"/>
    </row>
    <row r="69" spans="2:16" x14ac:dyDescent="0.35">
      <c r="B69" s="232" t="s">
        <v>257</v>
      </c>
      <c r="C69" s="232" t="s">
        <v>89</v>
      </c>
      <c r="D69" s="232">
        <v>1</v>
      </c>
      <c r="E69" s="232">
        <v>2</v>
      </c>
      <c r="F69" s="232">
        <v>1</v>
      </c>
      <c r="G69" s="232">
        <v>5</v>
      </c>
      <c r="H69" s="232">
        <v>1</v>
      </c>
      <c r="I69" s="232">
        <v>24</v>
      </c>
      <c r="J69" s="232">
        <v>1</v>
      </c>
      <c r="K69" s="232">
        <v>25</v>
      </c>
      <c r="L69" s="232">
        <v>-1</v>
      </c>
      <c r="M69" s="232"/>
      <c r="N69" s="232"/>
      <c r="O69" s="232"/>
      <c r="P69" s="232"/>
    </row>
    <row r="70" spans="2:16" x14ac:dyDescent="0.35">
      <c r="B70" s="232" t="s">
        <v>258</v>
      </c>
      <c r="C70" s="232" t="s">
        <v>89</v>
      </c>
      <c r="D70" s="232">
        <v>1</v>
      </c>
      <c r="E70" s="232">
        <v>2</v>
      </c>
      <c r="F70" s="232">
        <v>1</v>
      </c>
      <c r="G70" s="232">
        <v>5</v>
      </c>
      <c r="H70" s="232">
        <v>-1</v>
      </c>
      <c r="I70" s="232">
        <v>23</v>
      </c>
      <c r="J70" s="232">
        <v>-1</v>
      </c>
      <c r="K70" s="232">
        <v>25</v>
      </c>
      <c r="L70" s="232">
        <v>-1</v>
      </c>
      <c r="M70" s="232"/>
      <c r="N70" s="232"/>
      <c r="O70" s="232"/>
      <c r="P70" s="232"/>
    </row>
    <row r="71" spans="2:16" x14ac:dyDescent="0.35">
      <c r="B71" s="232" t="s">
        <v>259</v>
      </c>
      <c r="C71" s="232" t="s">
        <v>89</v>
      </c>
      <c r="D71" s="232">
        <v>1</v>
      </c>
      <c r="E71" s="232">
        <v>2</v>
      </c>
      <c r="F71" s="232">
        <v>1</v>
      </c>
      <c r="G71" s="232">
        <v>5</v>
      </c>
      <c r="H71" s="232">
        <v>-1</v>
      </c>
      <c r="I71" s="232">
        <v>24</v>
      </c>
      <c r="J71" s="232">
        <v>-1</v>
      </c>
      <c r="K71" s="232">
        <v>25</v>
      </c>
      <c r="L71" s="232">
        <v>-1</v>
      </c>
      <c r="M71" s="232"/>
      <c r="N71" s="232"/>
      <c r="O71" s="232"/>
      <c r="P71" s="232"/>
    </row>
    <row r="72" spans="2:16" x14ac:dyDescent="0.35">
      <c r="B72" s="232" t="s">
        <v>260</v>
      </c>
      <c r="C72" s="232" t="s">
        <v>89</v>
      </c>
      <c r="D72" s="232">
        <v>1</v>
      </c>
      <c r="E72" s="232">
        <v>2</v>
      </c>
      <c r="F72" s="232">
        <v>1</v>
      </c>
      <c r="G72" s="232">
        <v>5</v>
      </c>
      <c r="H72" s="232">
        <v>1</v>
      </c>
      <c r="I72" s="232">
        <v>13</v>
      </c>
      <c r="J72" s="232">
        <v>0.7</v>
      </c>
      <c r="K72" s="232"/>
      <c r="L72" s="232"/>
      <c r="M72" s="232"/>
      <c r="N72" s="232"/>
      <c r="O72" s="232"/>
      <c r="P72" s="232"/>
    </row>
    <row r="73" spans="2:16" x14ac:dyDescent="0.35">
      <c r="B73" s="232" t="s">
        <v>261</v>
      </c>
      <c r="C73" s="232" t="s">
        <v>89</v>
      </c>
      <c r="D73" s="232">
        <v>1</v>
      </c>
      <c r="E73" s="232">
        <v>2</v>
      </c>
      <c r="F73" s="232">
        <v>1</v>
      </c>
      <c r="G73" s="232">
        <v>5</v>
      </c>
      <c r="H73" s="232">
        <v>1</v>
      </c>
      <c r="I73" s="232">
        <v>14</v>
      </c>
      <c r="J73" s="232">
        <v>0.7</v>
      </c>
      <c r="K73" s="232"/>
      <c r="L73" s="232"/>
      <c r="M73" s="232"/>
      <c r="N73" s="232"/>
      <c r="O73" s="232"/>
      <c r="P73" s="232"/>
    </row>
    <row r="74" spans="2:16" x14ac:dyDescent="0.35">
      <c r="B74" s="232" t="s">
        <v>262</v>
      </c>
      <c r="C74" s="232" t="s">
        <v>89</v>
      </c>
      <c r="D74" s="232">
        <v>1</v>
      </c>
      <c r="E74" s="232">
        <v>2</v>
      </c>
      <c r="F74" s="232">
        <v>1</v>
      </c>
      <c r="G74" s="232">
        <v>5</v>
      </c>
      <c r="H74" s="232">
        <v>-1</v>
      </c>
      <c r="I74" s="232">
        <v>13</v>
      </c>
      <c r="J74" s="232">
        <v>-0.7</v>
      </c>
      <c r="K74" s="232"/>
      <c r="L74" s="232"/>
      <c r="M74" s="232"/>
      <c r="N74" s="232"/>
      <c r="O74" s="232"/>
      <c r="P74" s="232"/>
    </row>
    <row r="75" spans="2:16" x14ac:dyDescent="0.35">
      <c r="B75" s="232" t="s">
        <v>263</v>
      </c>
      <c r="C75" s="232" t="s">
        <v>89</v>
      </c>
      <c r="D75" s="232">
        <v>1</v>
      </c>
      <c r="E75" s="232">
        <v>2</v>
      </c>
      <c r="F75" s="232">
        <v>1</v>
      </c>
      <c r="G75" s="232">
        <v>5</v>
      </c>
      <c r="H75" s="232">
        <v>-1</v>
      </c>
      <c r="I75" s="232">
        <v>14</v>
      </c>
      <c r="J75" s="232">
        <v>-0.7</v>
      </c>
      <c r="K75" s="232"/>
      <c r="L75" s="232"/>
      <c r="M75" s="232"/>
      <c r="N75" s="232"/>
      <c r="O75" s="232"/>
      <c r="P75" s="232"/>
    </row>
    <row r="76" spans="2:16" x14ac:dyDescent="0.35">
      <c r="B76" s="232" t="s">
        <v>264</v>
      </c>
      <c r="C76" s="232" t="s">
        <v>89</v>
      </c>
      <c r="D76" s="232">
        <v>1</v>
      </c>
      <c r="E76" s="232">
        <v>2</v>
      </c>
      <c r="F76" s="232">
        <v>1</v>
      </c>
      <c r="G76" s="232">
        <v>5</v>
      </c>
      <c r="H76" s="232">
        <v>1</v>
      </c>
      <c r="I76" s="232">
        <v>7</v>
      </c>
      <c r="J76" s="232">
        <v>0.35</v>
      </c>
      <c r="K76" s="232">
        <v>8</v>
      </c>
      <c r="L76" s="232">
        <v>0.35</v>
      </c>
      <c r="M76" s="232">
        <v>9</v>
      </c>
      <c r="N76" s="232">
        <v>0.3</v>
      </c>
      <c r="O76" s="232">
        <v>25</v>
      </c>
      <c r="P76" s="232">
        <v>0.3</v>
      </c>
    </row>
    <row r="77" spans="2:16" x14ac:dyDescent="0.35">
      <c r="B77" s="232" t="s">
        <v>265</v>
      </c>
      <c r="C77" s="232" t="s">
        <v>89</v>
      </c>
      <c r="D77" s="232">
        <v>1</v>
      </c>
      <c r="E77" s="232">
        <v>2</v>
      </c>
      <c r="F77" s="232">
        <v>1</v>
      </c>
      <c r="G77" s="232">
        <v>5</v>
      </c>
      <c r="H77" s="232">
        <v>1</v>
      </c>
      <c r="I77" s="232">
        <v>7</v>
      </c>
      <c r="J77" s="232">
        <v>0.35</v>
      </c>
      <c r="K77" s="232">
        <v>8</v>
      </c>
      <c r="L77" s="232">
        <v>0.35</v>
      </c>
      <c r="M77" s="232">
        <v>10</v>
      </c>
      <c r="N77" s="232">
        <v>0.3</v>
      </c>
      <c r="O77" s="232">
        <v>25</v>
      </c>
      <c r="P77" s="232">
        <v>0.3</v>
      </c>
    </row>
    <row r="78" spans="2:16" x14ac:dyDescent="0.35">
      <c r="B78" s="232" t="s">
        <v>266</v>
      </c>
      <c r="C78" s="232" t="s">
        <v>89</v>
      </c>
      <c r="D78" s="232">
        <v>1</v>
      </c>
      <c r="E78" s="232">
        <v>2</v>
      </c>
      <c r="F78" s="232">
        <v>1</v>
      </c>
      <c r="G78" s="232">
        <v>5</v>
      </c>
      <c r="H78" s="232">
        <v>-1</v>
      </c>
      <c r="I78" s="232">
        <v>7</v>
      </c>
      <c r="J78" s="232">
        <v>0.35</v>
      </c>
      <c r="K78" s="232">
        <v>8</v>
      </c>
      <c r="L78" s="232">
        <v>0.35</v>
      </c>
      <c r="M78" s="232">
        <v>9</v>
      </c>
      <c r="N78" s="232">
        <v>-0.3</v>
      </c>
      <c r="O78" s="232">
        <v>25</v>
      </c>
      <c r="P78" s="232">
        <v>0.3</v>
      </c>
    </row>
    <row r="79" spans="2:16" x14ac:dyDescent="0.35">
      <c r="B79" s="232" t="s">
        <v>267</v>
      </c>
      <c r="C79" s="232" t="s">
        <v>89</v>
      </c>
      <c r="D79" s="232">
        <v>1</v>
      </c>
      <c r="E79" s="232">
        <v>2</v>
      </c>
      <c r="F79" s="232">
        <v>1</v>
      </c>
      <c r="G79" s="232">
        <v>5</v>
      </c>
      <c r="H79" s="232">
        <v>-1</v>
      </c>
      <c r="I79" s="232">
        <v>7</v>
      </c>
      <c r="J79" s="232">
        <v>0.35</v>
      </c>
      <c r="K79" s="232">
        <v>8</v>
      </c>
      <c r="L79" s="232">
        <v>0.35</v>
      </c>
      <c r="M79" s="232">
        <v>10</v>
      </c>
      <c r="N79" s="232">
        <v>-0.3</v>
      </c>
      <c r="O79" s="232">
        <v>25</v>
      </c>
      <c r="P79" s="232">
        <v>0.3</v>
      </c>
    </row>
    <row r="80" spans="2:16" x14ac:dyDescent="0.35">
      <c r="B80" s="232" t="s">
        <v>268</v>
      </c>
      <c r="C80" s="232" t="s">
        <v>89</v>
      </c>
      <c r="D80" s="232">
        <v>1</v>
      </c>
      <c r="E80" s="232">
        <v>2</v>
      </c>
      <c r="F80" s="232">
        <v>1</v>
      </c>
      <c r="G80" s="232">
        <v>5</v>
      </c>
      <c r="H80" s="232">
        <v>1</v>
      </c>
      <c r="I80" s="232">
        <v>7</v>
      </c>
      <c r="J80" s="232">
        <v>0.35</v>
      </c>
      <c r="K80" s="232">
        <v>8</v>
      </c>
      <c r="L80" s="232">
        <v>0.35</v>
      </c>
      <c r="M80" s="232">
        <v>23</v>
      </c>
      <c r="N80" s="232">
        <v>0.3</v>
      </c>
      <c r="O80" s="232">
        <v>25</v>
      </c>
      <c r="P80" s="232">
        <v>0.3</v>
      </c>
    </row>
    <row r="81" spans="2:16" x14ac:dyDescent="0.35">
      <c r="B81" s="232" t="s">
        <v>269</v>
      </c>
      <c r="C81" s="232" t="s">
        <v>89</v>
      </c>
      <c r="D81" s="232">
        <v>1</v>
      </c>
      <c r="E81" s="232">
        <v>2</v>
      </c>
      <c r="F81" s="232">
        <v>1</v>
      </c>
      <c r="G81" s="232">
        <v>5</v>
      </c>
      <c r="H81" s="232">
        <v>1</v>
      </c>
      <c r="I81" s="232">
        <v>7</v>
      </c>
      <c r="J81" s="232">
        <v>0.35</v>
      </c>
      <c r="K81" s="232">
        <v>8</v>
      </c>
      <c r="L81" s="232">
        <v>0.35</v>
      </c>
      <c r="M81" s="232">
        <v>24</v>
      </c>
      <c r="N81" s="232">
        <v>0.3</v>
      </c>
      <c r="O81" s="232">
        <v>25</v>
      </c>
      <c r="P81" s="232">
        <v>0.3</v>
      </c>
    </row>
    <row r="82" spans="2:16" x14ac:dyDescent="0.35">
      <c r="B82" s="232" t="s">
        <v>270</v>
      </c>
      <c r="C82" s="232" t="s">
        <v>89</v>
      </c>
      <c r="D82" s="232">
        <v>1</v>
      </c>
      <c r="E82" s="232">
        <v>2</v>
      </c>
      <c r="F82" s="232">
        <v>1</v>
      </c>
      <c r="G82" s="232">
        <v>5</v>
      </c>
      <c r="H82" s="232">
        <v>-1</v>
      </c>
      <c r="I82" s="232">
        <v>7</v>
      </c>
      <c r="J82" s="232">
        <v>0.35</v>
      </c>
      <c r="K82" s="232">
        <v>8</v>
      </c>
      <c r="L82" s="232">
        <v>0.35</v>
      </c>
      <c r="M82" s="232">
        <v>23</v>
      </c>
      <c r="N82" s="232">
        <v>-0.3</v>
      </c>
      <c r="O82" s="232">
        <v>25</v>
      </c>
      <c r="P82" s="232">
        <v>0.3</v>
      </c>
    </row>
    <row r="83" spans="2:16" x14ac:dyDescent="0.35">
      <c r="B83" s="232" t="s">
        <v>271</v>
      </c>
      <c r="C83" s="232" t="s">
        <v>89</v>
      </c>
      <c r="D83" s="232">
        <v>1</v>
      </c>
      <c r="E83" s="232">
        <v>2</v>
      </c>
      <c r="F83" s="232">
        <v>1</v>
      </c>
      <c r="G83" s="232">
        <v>5</v>
      </c>
      <c r="H83" s="232">
        <v>-1</v>
      </c>
      <c r="I83" s="232">
        <v>7</v>
      </c>
      <c r="J83" s="232">
        <v>0.35</v>
      </c>
      <c r="K83" s="232">
        <v>8</v>
      </c>
      <c r="L83" s="232">
        <v>0.35</v>
      </c>
      <c r="M83" s="232">
        <v>24</v>
      </c>
      <c r="N83" s="232">
        <v>-0.3</v>
      </c>
      <c r="O83" s="232">
        <v>25</v>
      </c>
      <c r="P83" s="232">
        <v>0.3</v>
      </c>
    </row>
    <row r="84" spans="2:16" x14ac:dyDescent="0.35">
      <c r="B84" s="232" t="s">
        <v>272</v>
      </c>
      <c r="C84" s="232" t="s">
        <v>89</v>
      </c>
      <c r="D84" s="232">
        <v>1</v>
      </c>
      <c r="E84" s="232">
        <v>2</v>
      </c>
      <c r="F84" s="232">
        <v>1</v>
      </c>
      <c r="G84" s="232">
        <v>5</v>
      </c>
      <c r="H84" s="232">
        <v>1</v>
      </c>
      <c r="I84" s="232">
        <v>7</v>
      </c>
      <c r="J84" s="232">
        <v>0.35</v>
      </c>
      <c r="K84" s="232">
        <v>8</v>
      </c>
      <c r="L84" s="232">
        <v>0.35</v>
      </c>
      <c r="M84" s="232">
        <v>9</v>
      </c>
      <c r="N84" s="232">
        <v>0.3</v>
      </c>
      <c r="O84" s="232">
        <v>25</v>
      </c>
      <c r="P84" s="232">
        <v>-0.3</v>
      </c>
    </row>
    <row r="85" spans="2:16" x14ac:dyDescent="0.35">
      <c r="B85" s="232" t="s">
        <v>273</v>
      </c>
      <c r="C85" s="232" t="s">
        <v>89</v>
      </c>
      <c r="D85" s="232">
        <v>1</v>
      </c>
      <c r="E85" s="232">
        <v>2</v>
      </c>
      <c r="F85" s="232">
        <v>1</v>
      </c>
      <c r="G85" s="232">
        <v>5</v>
      </c>
      <c r="H85" s="232">
        <v>1</v>
      </c>
      <c r="I85" s="232">
        <v>7</v>
      </c>
      <c r="J85" s="232">
        <v>0.35</v>
      </c>
      <c r="K85" s="232">
        <v>8</v>
      </c>
      <c r="L85" s="232">
        <v>0.35</v>
      </c>
      <c r="M85" s="232">
        <v>10</v>
      </c>
      <c r="N85" s="232">
        <v>0.3</v>
      </c>
      <c r="O85" s="232">
        <v>25</v>
      </c>
      <c r="P85" s="232">
        <v>-0.3</v>
      </c>
    </row>
    <row r="86" spans="2:16" x14ac:dyDescent="0.35">
      <c r="B86" s="232" t="s">
        <v>274</v>
      </c>
      <c r="C86" s="232" t="s">
        <v>89</v>
      </c>
      <c r="D86" s="232">
        <v>1</v>
      </c>
      <c r="E86" s="232">
        <v>2</v>
      </c>
      <c r="F86" s="232">
        <v>1</v>
      </c>
      <c r="G86" s="232">
        <v>5</v>
      </c>
      <c r="H86" s="232">
        <v>-1</v>
      </c>
      <c r="I86" s="232">
        <v>7</v>
      </c>
      <c r="J86" s="232">
        <v>0.35</v>
      </c>
      <c r="K86" s="232">
        <v>8</v>
      </c>
      <c r="L86" s="232">
        <v>0.35</v>
      </c>
      <c r="M86" s="232">
        <v>9</v>
      </c>
      <c r="N86" s="232">
        <v>-0.3</v>
      </c>
      <c r="O86" s="232">
        <v>25</v>
      </c>
      <c r="P86" s="232">
        <v>-0.3</v>
      </c>
    </row>
    <row r="87" spans="2:16" x14ac:dyDescent="0.35">
      <c r="B87" s="232" t="s">
        <v>275</v>
      </c>
      <c r="C87" s="232" t="s">
        <v>89</v>
      </c>
      <c r="D87" s="232">
        <v>1</v>
      </c>
      <c r="E87" s="232">
        <v>2</v>
      </c>
      <c r="F87" s="232">
        <v>1</v>
      </c>
      <c r="G87" s="232">
        <v>5</v>
      </c>
      <c r="H87" s="232">
        <v>-1</v>
      </c>
      <c r="I87" s="232">
        <v>7</v>
      </c>
      <c r="J87" s="232">
        <v>0.35</v>
      </c>
      <c r="K87" s="232">
        <v>8</v>
      </c>
      <c r="L87" s="232">
        <v>0.35</v>
      </c>
      <c r="M87" s="232">
        <v>10</v>
      </c>
      <c r="N87" s="232">
        <v>-0.3</v>
      </c>
      <c r="O87" s="232">
        <v>25</v>
      </c>
      <c r="P87" s="232">
        <v>-0.3</v>
      </c>
    </row>
    <row r="88" spans="2:16" x14ac:dyDescent="0.35">
      <c r="B88" s="232" t="s">
        <v>276</v>
      </c>
      <c r="C88" s="232" t="s">
        <v>89</v>
      </c>
      <c r="D88" s="232">
        <v>1</v>
      </c>
      <c r="E88" s="232">
        <v>2</v>
      </c>
      <c r="F88" s="232">
        <v>1</v>
      </c>
      <c r="G88" s="232">
        <v>5</v>
      </c>
      <c r="H88" s="232">
        <v>1</v>
      </c>
      <c r="I88" s="232">
        <v>7</v>
      </c>
      <c r="J88" s="232">
        <v>0.35</v>
      </c>
      <c r="K88" s="232">
        <v>8</v>
      </c>
      <c r="L88" s="232">
        <v>0.35</v>
      </c>
      <c r="M88" s="232">
        <v>23</v>
      </c>
      <c r="N88" s="232">
        <v>0.3</v>
      </c>
      <c r="O88" s="232">
        <v>25</v>
      </c>
      <c r="P88" s="232">
        <v>-0.3</v>
      </c>
    </row>
    <row r="89" spans="2:16" x14ac:dyDescent="0.35">
      <c r="B89" s="232" t="s">
        <v>277</v>
      </c>
      <c r="C89" s="232" t="s">
        <v>89</v>
      </c>
      <c r="D89" s="232">
        <v>1</v>
      </c>
      <c r="E89" s="232">
        <v>2</v>
      </c>
      <c r="F89" s="232">
        <v>1</v>
      </c>
      <c r="G89" s="232">
        <v>5</v>
      </c>
      <c r="H89" s="232">
        <v>1</v>
      </c>
      <c r="I89" s="232">
        <v>7</v>
      </c>
      <c r="J89" s="232">
        <v>0.35</v>
      </c>
      <c r="K89" s="232">
        <v>8</v>
      </c>
      <c r="L89" s="232">
        <v>0.35</v>
      </c>
      <c r="M89" s="232">
        <v>24</v>
      </c>
      <c r="N89" s="232">
        <v>0.3</v>
      </c>
      <c r="O89" s="232">
        <v>25</v>
      </c>
      <c r="P89" s="232">
        <v>-0.3</v>
      </c>
    </row>
    <row r="90" spans="2:16" x14ac:dyDescent="0.35">
      <c r="B90" s="232" t="s">
        <v>278</v>
      </c>
      <c r="C90" s="232" t="s">
        <v>89</v>
      </c>
      <c r="D90" s="232">
        <v>1</v>
      </c>
      <c r="E90" s="232">
        <v>2</v>
      </c>
      <c r="F90" s="232">
        <v>1</v>
      </c>
      <c r="G90" s="232">
        <v>5</v>
      </c>
      <c r="H90" s="232">
        <v>-1</v>
      </c>
      <c r="I90" s="232">
        <v>7</v>
      </c>
      <c r="J90" s="232">
        <v>0.35</v>
      </c>
      <c r="K90" s="232">
        <v>8</v>
      </c>
      <c r="L90" s="232">
        <v>0.35</v>
      </c>
      <c r="M90" s="232">
        <v>23</v>
      </c>
      <c r="N90" s="232">
        <v>-0.3</v>
      </c>
      <c r="O90" s="232">
        <v>25</v>
      </c>
      <c r="P90" s="232">
        <v>-0.3</v>
      </c>
    </row>
    <row r="91" spans="2:16" x14ac:dyDescent="0.35">
      <c r="B91" s="232" t="s">
        <v>279</v>
      </c>
      <c r="C91" s="232" t="s">
        <v>89</v>
      </c>
      <c r="D91" s="232">
        <v>1</v>
      </c>
      <c r="E91" s="232">
        <v>2</v>
      </c>
      <c r="F91" s="232">
        <v>1</v>
      </c>
      <c r="G91" s="232">
        <v>5</v>
      </c>
      <c r="H91" s="232">
        <v>-1</v>
      </c>
      <c r="I91" s="232">
        <v>7</v>
      </c>
      <c r="J91" s="232">
        <v>0.35</v>
      </c>
      <c r="K91" s="232">
        <v>8</v>
      </c>
      <c r="L91" s="232">
        <v>0.35</v>
      </c>
      <c r="M91" s="232">
        <v>24</v>
      </c>
      <c r="N91" s="232">
        <v>-0.3</v>
      </c>
      <c r="O91" s="232">
        <v>25</v>
      </c>
      <c r="P91" s="232">
        <v>-0.3</v>
      </c>
    </row>
    <row r="92" spans="2:16" x14ac:dyDescent="0.35">
      <c r="B92" s="232" t="s">
        <v>280</v>
      </c>
      <c r="C92" s="232" t="s">
        <v>89</v>
      </c>
      <c r="D92" s="232">
        <v>1</v>
      </c>
      <c r="E92" s="232">
        <v>2</v>
      </c>
      <c r="F92" s="232">
        <v>1</v>
      </c>
      <c r="G92" s="232">
        <v>5</v>
      </c>
      <c r="H92" s="232">
        <v>1</v>
      </c>
      <c r="I92" s="232">
        <v>7</v>
      </c>
      <c r="J92" s="232">
        <v>0.35</v>
      </c>
      <c r="K92" s="232">
        <v>8</v>
      </c>
      <c r="L92" s="232">
        <v>0.35</v>
      </c>
      <c r="M92" s="232">
        <v>13</v>
      </c>
      <c r="N92" s="232">
        <v>0.52500000000000002</v>
      </c>
      <c r="O92" s="232"/>
      <c r="P92" s="232"/>
    </row>
    <row r="93" spans="2:16" x14ac:dyDescent="0.35">
      <c r="B93" s="232" t="s">
        <v>281</v>
      </c>
      <c r="C93" s="232" t="s">
        <v>89</v>
      </c>
      <c r="D93" s="232">
        <v>1</v>
      </c>
      <c r="E93" s="232">
        <v>2</v>
      </c>
      <c r="F93" s="232">
        <v>1</v>
      </c>
      <c r="G93" s="232">
        <v>5</v>
      </c>
      <c r="H93" s="232">
        <v>1</v>
      </c>
      <c r="I93" s="232">
        <v>7</v>
      </c>
      <c r="J93" s="232">
        <v>0.35</v>
      </c>
      <c r="K93" s="232">
        <v>8</v>
      </c>
      <c r="L93" s="232">
        <v>0.35</v>
      </c>
      <c r="M93" s="232">
        <v>14</v>
      </c>
      <c r="N93" s="232">
        <v>0.52500000000000002</v>
      </c>
      <c r="O93" s="232"/>
      <c r="P93" s="232"/>
    </row>
    <row r="94" spans="2:16" x14ac:dyDescent="0.35">
      <c r="B94" s="232" t="s">
        <v>282</v>
      </c>
      <c r="C94" s="232" t="s">
        <v>89</v>
      </c>
      <c r="D94" s="232">
        <v>1</v>
      </c>
      <c r="E94" s="232">
        <v>2</v>
      </c>
      <c r="F94" s="232">
        <v>1</v>
      </c>
      <c r="G94" s="232">
        <v>5</v>
      </c>
      <c r="H94" s="232">
        <v>-1</v>
      </c>
      <c r="I94" s="232">
        <v>7</v>
      </c>
      <c r="J94" s="232">
        <v>0.35</v>
      </c>
      <c r="K94" s="232">
        <v>8</v>
      </c>
      <c r="L94" s="232">
        <v>0.35</v>
      </c>
      <c r="M94" s="232">
        <v>13</v>
      </c>
      <c r="N94" s="232">
        <v>-0.52500000000000002</v>
      </c>
      <c r="O94" s="232"/>
      <c r="P94" s="232"/>
    </row>
    <row r="95" spans="2:16" x14ac:dyDescent="0.35">
      <c r="B95" s="232" t="s">
        <v>283</v>
      </c>
      <c r="C95" s="232" t="s">
        <v>89</v>
      </c>
      <c r="D95" s="232">
        <v>1</v>
      </c>
      <c r="E95" s="232">
        <v>2</v>
      </c>
      <c r="F95" s="232">
        <v>1</v>
      </c>
      <c r="G95" s="232">
        <v>5</v>
      </c>
      <c r="H95" s="232">
        <v>-1</v>
      </c>
      <c r="I95" s="232">
        <v>7</v>
      </c>
      <c r="J95" s="232">
        <v>0.35</v>
      </c>
      <c r="K95" s="232">
        <v>8</v>
      </c>
      <c r="L95" s="232">
        <v>0.35</v>
      </c>
      <c r="M95" s="232">
        <v>14</v>
      </c>
      <c r="N95" s="232">
        <v>-0.52500000000000002</v>
      </c>
      <c r="O95" s="232"/>
      <c r="P95" s="232"/>
    </row>
    <row r="96" spans="2:16" x14ac:dyDescent="0.35">
      <c r="B96" s="232" t="s">
        <v>284</v>
      </c>
      <c r="C96" s="232" t="s">
        <v>89</v>
      </c>
      <c r="D96" s="232">
        <v>0.6</v>
      </c>
      <c r="E96" s="232">
        <v>4</v>
      </c>
      <c r="F96" s="232">
        <v>0.6</v>
      </c>
      <c r="G96" s="232">
        <v>5</v>
      </c>
      <c r="H96" s="232">
        <v>1</v>
      </c>
      <c r="I96" s="232">
        <v>9</v>
      </c>
      <c r="J96" s="232">
        <v>1</v>
      </c>
      <c r="K96" s="232">
        <v>25</v>
      </c>
      <c r="L96" s="232">
        <v>1</v>
      </c>
      <c r="M96" s="232"/>
      <c r="N96" s="232"/>
      <c r="O96" s="232"/>
      <c r="P96" s="232"/>
    </row>
    <row r="97" spans="2:16" x14ac:dyDescent="0.35">
      <c r="B97" s="232" t="s">
        <v>285</v>
      </c>
      <c r="C97" s="232" t="s">
        <v>89</v>
      </c>
      <c r="D97" s="232">
        <v>0.6</v>
      </c>
      <c r="E97" s="232">
        <v>4</v>
      </c>
      <c r="F97" s="232">
        <v>0.6</v>
      </c>
      <c r="G97" s="232">
        <v>5</v>
      </c>
      <c r="H97" s="232">
        <v>1</v>
      </c>
      <c r="I97" s="232">
        <v>10</v>
      </c>
      <c r="J97" s="232">
        <v>1</v>
      </c>
      <c r="K97" s="232">
        <v>25</v>
      </c>
      <c r="L97" s="232">
        <v>1</v>
      </c>
      <c r="M97" s="232"/>
      <c r="N97" s="232"/>
      <c r="O97" s="232"/>
      <c r="P97" s="232"/>
    </row>
    <row r="98" spans="2:16" x14ac:dyDescent="0.35">
      <c r="B98" s="232" t="s">
        <v>286</v>
      </c>
      <c r="C98" s="232" t="s">
        <v>89</v>
      </c>
      <c r="D98" s="232">
        <v>0.6</v>
      </c>
      <c r="E98" s="232">
        <v>4</v>
      </c>
      <c r="F98" s="232">
        <v>0.6</v>
      </c>
      <c r="G98" s="232">
        <v>5</v>
      </c>
      <c r="H98" s="232">
        <v>-1</v>
      </c>
      <c r="I98" s="232">
        <v>9</v>
      </c>
      <c r="J98" s="232">
        <v>-1</v>
      </c>
      <c r="K98" s="232">
        <v>25</v>
      </c>
      <c r="L98" s="232">
        <v>1</v>
      </c>
      <c r="M98" s="232"/>
      <c r="N98" s="232"/>
      <c r="O98" s="232"/>
      <c r="P98" s="232"/>
    </row>
    <row r="99" spans="2:16" x14ac:dyDescent="0.35">
      <c r="B99" s="232" t="s">
        <v>287</v>
      </c>
      <c r="C99" s="232" t="s">
        <v>89</v>
      </c>
      <c r="D99" s="232">
        <v>0.6</v>
      </c>
      <c r="E99" s="232">
        <v>4</v>
      </c>
      <c r="F99" s="232">
        <v>0.6</v>
      </c>
      <c r="G99" s="232">
        <v>5</v>
      </c>
      <c r="H99" s="232">
        <v>-1</v>
      </c>
      <c r="I99" s="232">
        <v>10</v>
      </c>
      <c r="J99" s="232">
        <v>-1</v>
      </c>
      <c r="K99" s="232">
        <v>25</v>
      </c>
      <c r="L99" s="232">
        <v>1</v>
      </c>
      <c r="M99" s="232"/>
      <c r="N99" s="232"/>
      <c r="O99" s="232"/>
      <c r="P99" s="232"/>
    </row>
    <row r="100" spans="2:16" x14ac:dyDescent="0.35">
      <c r="B100" s="232" t="s">
        <v>288</v>
      </c>
      <c r="C100" s="232" t="s">
        <v>89</v>
      </c>
      <c r="D100" s="232">
        <v>0.6</v>
      </c>
      <c r="E100" s="232">
        <v>4</v>
      </c>
      <c r="F100" s="232">
        <v>0.6</v>
      </c>
      <c r="G100" s="232">
        <v>5</v>
      </c>
      <c r="H100" s="232">
        <v>1</v>
      </c>
      <c r="I100" s="232">
        <v>23</v>
      </c>
      <c r="J100" s="232">
        <v>1</v>
      </c>
      <c r="K100" s="232">
        <v>25</v>
      </c>
      <c r="L100" s="232">
        <v>1</v>
      </c>
      <c r="M100" s="232"/>
      <c r="N100" s="232"/>
      <c r="O100" s="232"/>
      <c r="P100" s="232"/>
    </row>
    <row r="101" spans="2:16" x14ac:dyDescent="0.35">
      <c r="B101" s="232" t="s">
        <v>289</v>
      </c>
      <c r="C101" s="232" t="s">
        <v>89</v>
      </c>
      <c r="D101" s="232">
        <v>0.6</v>
      </c>
      <c r="E101" s="232">
        <v>4</v>
      </c>
      <c r="F101" s="232">
        <v>0.6</v>
      </c>
      <c r="G101" s="232">
        <v>5</v>
      </c>
      <c r="H101" s="232">
        <v>1</v>
      </c>
      <c r="I101" s="232">
        <v>24</v>
      </c>
      <c r="J101" s="232">
        <v>1</v>
      </c>
      <c r="K101" s="232">
        <v>25</v>
      </c>
      <c r="L101" s="232">
        <v>1</v>
      </c>
      <c r="M101" s="232"/>
      <c r="N101" s="232"/>
      <c r="O101" s="232"/>
      <c r="P101" s="232"/>
    </row>
    <row r="102" spans="2:16" x14ac:dyDescent="0.35">
      <c r="B102" s="232" t="s">
        <v>290</v>
      </c>
      <c r="C102" s="232" t="s">
        <v>89</v>
      </c>
      <c r="D102" s="232">
        <v>0.6</v>
      </c>
      <c r="E102" s="232">
        <v>4</v>
      </c>
      <c r="F102" s="232">
        <v>0.6</v>
      </c>
      <c r="G102" s="232">
        <v>5</v>
      </c>
      <c r="H102" s="232">
        <v>-1</v>
      </c>
      <c r="I102" s="232">
        <v>23</v>
      </c>
      <c r="J102" s="232">
        <v>-1</v>
      </c>
      <c r="K102" s="232">
        <v>25</v>
      </c>
      <c r="L102" s="232">
        <v>1</v>
      </c>
      <c r="M102" s="232"/>
      <c r="N102" s="232"/>
      <c r="O102" s="232"/>
      <c r="P102" s="232"/>
    </row>
    <row r="103" spans="2:16" x14ac:dyDescent="0.35">
      <c r="B103" s="232" t="s">
        <v>291</v>
      </c>
      <c r="C103" s="232" t="s">
        <v>89</v>
      </c>
      <c r="D103" s="232">
        <v>0.6</v>
      </c>
      <c r="E103" s="232">
        <v>4</v>
      </c>
      <c r="F103" s="232">
        <v>0.6</v>
      </c>
      <c r="G103" s="232">
        <v>5</v>
      </c>
      <c r="H103" s="232">
        <v>-1</v>
      </c>
      <c r="I103" s="232">
        <v>24</v>
      </c>
      <c r="J103" s="232">
        <v>-1</v>
      </c>
      <c r="K103" s="232">
        <v>25</v>
      </c>
      <c r="L103" s="232">
        <v>1</v>
      </c>
      <c r="M103" s="232"/>
      <c r="N103" s="232"/>
      <c r="O103" s="232"/>
      <c r="P103" s="232"/>
    </row>
    <row r="104" spans="2:16" x14ac:dyDescent="0.35">
      <c r="B104" s="232" t="s">
        <v>292</v>
      </c>
      <c r="C104" s="232" t="s">
        <v>89</v>
      </c>
      <c r="D104" s="232">
        <v>0.6</v>
      </c>
      <c r="E104" s="232">
        <v>4</v>
      </c>
      <c r="F104" s="232">
        <v>0.6</v>
      </c>
      <c r="G104" s="232">
        <v>5</v>
      </c>
      <c r="H104" s="232">
        <v>1</v>
      </c>
      <c r="I104" s="232">
        <v>9</v>
      </c>
      <c r="J104" s="232">
        <v>1</v>
      </c>
      <c r="K104" s="232">
        <v>25</v>
      </c>
      <c r="L104" s="232">
        <v>-1</v>
      </c>
      <c r="M104" s="232"/>
      <c r="N104" s="232"/>
      <c r="O104" s="232"/>
      <c r="P104" s="232"/>
    </row>
    <row r="105" spans="2:16" x14ac:dyDescent="0.35">
      <c r="B105" s="232" t="s">
        <v>293</v>
      </c>
      <c r="C105" s="232" t="s">
        <v>89</v>
      </c>
      <c r="D105" s="232">
        <v>0.6</v>
      </c>
      <c r="E105" s="232">
        <v>4</v>
      </c>
      <c r="F105" s="232">
        <v>0.6</v>
      </c>
      <c r="G105" s="232">
        <v>5</v>
      </c>
      <c r="H105" s="232">
        <v>1</v>
      </c>
      <c r="I105" s="232">
        <v>10</v>
      </c>
      <c r="J105" s="232">
        <v>1</v>
      </c>
      <c r="K105" s="232">
        <v>25</v>
      </c>
      <c r="L105" s="232">
        <v>-1</v>
      </c>
      <c r="M105" s="232"/>
      <c r="N105" s="232"/>
      <c r="O105" s="232"/>
      <c r="P105" s="232"/>
    </row>
    <row r="106" spans="2:16" x14ac:dyDescent="0.35">
      <c r="B106" s="232" t="s">
        <v>294</v>
      </c>
      <c r="C106" s="232" t="s">
        <v>89</v>
      </c>
      <c r="D106" s="232">
        <v>0.6</v>
      </c>
      <c r="E106" s="232">
        <v>4</v>
      </c>
      <c r="F106" s="232">
        <v>0.6</v>
      </c>
      <c r="G106" s="232">
        <v>5</v>
      </c>
      <c r="H106" s="232">
        <v>-1</v>
      </c>
      <c r="I106" s="232">
        <v>9</v>
      </c>
      <c r="J106" s="232">
        <v>-1</v>
      </c>
      <c r="K106" s="232">
        <v>25</v>
      </c>
      <c r="L106" s="232">
        <v>-1</v>
      </c>
      <c r="M106" s="232"/>
      <c r="N106" s="232"/>
      <c r="O106" s="232"/>
      <c r="P106" s="232"/>
    </row>
    <row r="107" spans="2:16" x14ac:dyDescent="0.35">
      <c r="B107" s="232" t="s">
        <v>295</v>
      </c>
      <c r="C107" s="232" t="s">
        <v>89</v>
      </c>
      <c r="D107" s="232">
        <v>0.6</v>
      </c>
      <c r="E107" s="232">
        <v>4</v>
      </c>
      <c r="F107" s="232">
        <v>0.6</v>
      </c>
      <c r="G107" s="232">
        <v>5</v>
      </c>
      <c r="H107" s="232">
        <v>-1</v>
      </c>
      <c r="I107" s="232">
        <v>10</v>
      </c>
      <c r="J107" s="232">
        <v>-1</v>
      </c>
      <c r="K107" s="232">
        <v>25</v>
      </c>
      <c r="L107" s="232">
        <v>-1</v>
      </c>
      <c r="M107" s="232"/>
      <c r="N107" s="232"/>
      <c r="O107" s="232"/>
      <c r="P107" s="232"/>
    </row>
    <row r="108" spans="2:16" x14ac:dyDescent="0.35">
      <c r="B108" s="232" t="s">
        <v>296</v>
      </c>
      <c r="C108" s="232" t="s">
        <v>89</v>
      </c>
      <c r="D108" s="232">
        <v>0.6</v>
      </c>
      <c r="E108" s="232">
        <v>4</v>
      </c>
      <c r="F108" s="232">
        <v>0.6</v>
      </c>
      <c r="G108" s="232">
        <v>5</v>
      </c>
      <c r="H108" s="232">
        <v>1</v>
      </c>
      <c r="I108" s="232">
        <v>23</v>
      </c>
      <c r="J108" s="232">
        <v>1</v>
      </c>
      <c r="K108" s="232">
        <v>25</v>
      </c>
      <c r="L108" s="232">
        <v>-1</v>
      </c>
      <c r="M108" s="232"/>
      <c r="N108" s="232"/>
      <c r="O108" s="232"/>
      <c r="P108" s="232"/>
    </row>
    <row r="109" spans="2:16" x14ac:dyDescent="0.35">
      <c r="B109" s="232" t="s">
        <v>297</v>
      </c>
      <c r="C109" s="232" t="s">
        <v>89</v>
      </c>
      <c r="D109" s="232">
        <v>0.6</v>
      </c>
      <c r="E109" s="232">
        <v>4</v>
      </c>
      <c r="F109" s="232">
        <v>0.6</v>
      </c>
      <c r="G109" s="232">
        <v>5</v>
      </c>
      <c r="H109" s="232">
        <v>1</v>
      </c>
      <c r="I109" s="232">
        <v>24</v>
      </c>
      <c r="J109" s="232">
        <v>1</v>
      </c>
      <c r="K109" s="232">
        <v>25</v>
      </c>
      <c r="L109" s="232">
        <v>-1</v>
      </c>
      <c r="M109" s="232"/>
      <c r="N109" s="232"/>
      <c r="O109" s="232"/>
      <c r="P109" s="232"/>
    </row>
    <row r="110" spans="2:16" x14ac:dyDescent="0.35">
      <c r="B110" s="232" t="s">
        <v>298</v>
      </c>
      <c r="C110" s="232" t="s">
        <v>89</v>
      </c>
      <c r="D110" s="232">
        <v>0.6</v>
      </c>
      <c r="E110" s="232">
        <v>4</v>
      </c>
      <c r="F110" s="232">
        <v>0.6</v>
      </c>
      <c r="G110" s="232">
        <v>5</v>
      </c>
      <c r="H110" s="232">
        <v>-1</v>
      </c>
      <c r="I110" s="232">
        <v>23</v>
      </c>
      <c r="J110" s="232">
        <v>-1</v>
      </c>
      <c r="K110" s="232">
        <v>25</v>
      </c>
      <c r="L110" s="232">
        <v>-1</v>
      </c>
      <c r="M110" s="232"/>
      <c r="N110" s="232"/>
      <c r="O110" s="232"/>
      <c r="P110" s="232"/>
    </row>
    <row r="111" spans="2:16" x14ac:dyDescent="0.35">
      <c r="B111" s="232" t="s">
        <v>299</v>
      </c>
      <c r="C111" s="232" t="s">
        <v>89</v>
      </c>
      <c r="D111" s="232">
        <v>0.6</v>
      </c>
      <c r="E111" s="232">
        <v>4</v>
      </c>
      <c r="F111" s="232">
        <v>0.6</v>
      </c>
      <c r="G111" s="232">
        <v>5</v>
      </c>
      <c r="H111" s="232">
        <v>-1</v>
      </c>
      <c r="I111" s="232">
        <v>24</v>
      </c>
      <c r="J111" s="232">
        <v>-1</v>
      </c>
      <c r="K111" s="232">
        <v>25</v>
      </c>
      <c r="L111" s="232">
        <v>-1</v>
      </c>
      <c r="M111" s="232"/>
      <c r="N111" s="232"/>
      <c r="O111" s="232"/>
      <c r="P111" s="232"/>
    </row>
    <row r="112" spans="2:16" x14ac:dyDescent="0.35">
      <c r="B112" s="232" t="s">
        <v>300</v>
      </c>
      <c r="C112" s="232" t="s">
        <v>89</v>
      </c>
      <c r="D112" s="232">
        <v>0.6</v>
      </c>
      <c r="E112" s="232">
        <v>2</v>
      </c>
      <c r="F112" s="232">
        <v>0.6</v>
      </c>
      <c r="G112" s="232">
        <v>5</v>
      </c>
      <c r="H112" s="232">
        <v>1</v>
      </c>
      <c r="I112" s="232">
        <v>9</v>
      </c>
      <c r="J112" s="232">
        <v>1</v>
      </c>
      <c r="K112" s="232">
        <v>25</v>
      </c>
      <c r="L112" s="232">
        <v>1</v>
      </c>
      <c r="M112" s="232"/>
      <c r="N112" s="232"/>
      <c r="O112" s="232"/>
      <c r="P112" s="232"/>
    </row>
    <row r="113" spans="2:16" x14ac:dyDescent="0.35">
      <c r="B113" s="232" t="s">
        <v>301</v>
      </c>
      <c r="C113" s="232" t="s">
        <v>89</v>
      </c>
      <c r="D113" s="232">
        <v>0.6</v>
      </c>
      <c r="E113" s="232">
        <v>2</v>
      </c>
      <c r="F113" s="232">
        <v>0.6</v>
      </c>
      <c r="G113" s="232">
        <v>5</v>
      </c>
      <c r="H113" s="232">
        <v>1</v>
      </c>
      <c r="I113" s="232">
        <v>10</v>
      </c>
      <c r="J113" s="232">
        <v>1</v>
      </c>
      <c r="K113" s="232">
        <v>25</v>
      </c>
      <c r="L113" s="232">
        <v>1</v>
      </c>
      <c r="M113" s="232"/>
      <c r="N113" s="232"/>
      <c r="O113" s="232"/>
      <c r="P113" s="232"/>
    </row>
    <row r="114" spans="2:16" x14ac:dyDescent="0.35">
      <c r="B114" s="232" t="s">
        <v>302</v>
      </c>
      <c r="C114" s="232" t="s">
        <v>89</v>
      </c>
      <c r="D114" s="232">
        <v>0.6</v>
      </c>
      <c r="E114" s="232">
        <v>2</v>
      </c>
      <c r="F114" s="232">
        <v>0.6</v>
      </c>
      <c r="G114" s="232">
        <v>5</v>
      </c>
      <c r="H114" s="232">
        <v>-1</v>
      </c>
      <c r="I114" s="232">
        <v>9</v>
      </c>
      <c r="J114" s="232">
        <v>-1</v>
      </c>
      <c r="K114" s="232">
        <v>25</v>
      </c>
      <c r="L114" s="232">
        <v>1</v>
      </c>
      <c r="M114" s="232"/>
      <c r="N114" s="232"/>
      <c r="O114" s="232"/>
      <c r="P114" s="232"/>
    </row>
    <row r="115" spans="2:16" x14ac:dyDescent="0.35">
      <c r="B115" s="232" t="s">
        <v>303</v>
      </c>
      <c r="C115" s="232" t="s">
        <v>89</v>
      </c>
      <c r="D115" s="232">
        <v>0.6</v>
      </c>
      <c r="E115" s="232">
        <v>2</v>
      </c>
      <c r="F115" s="232">
        <v>0.6</v>
      </c>
      <c r="G115" s="232">
        <v>5</v>
      </c>
      <c r="H115" s="232">
        <v>-1</v>
      </c>
      <c r="I115" s="232">
        <v>10</v>
      </c>
      <c r="J115" s="232">
        <v>-1</v>
      </c>
      <c r="K115" s="232">
        <v>25</v>
      </c>
      <c r="L115" s="232">
        <v>1</v>
      </c>
      <c r="M115" s="232"/>
      <c r="N115" s="232"/>
      <c r="O115" s="232"/>
      <c r="P115" s="232"/>
    </row>
    <row r="116" spans="2:16" x14ac:dyDescent="0.35">
      <c r="B116" s="232" t="s">
        <v>304</v>
      </c>
      <c r="C116" s="232" t="s">
        <v>89</v>
      </c>
      <c r="D116" s="232">
        <v>0.6</v>
      </c>
      <c r="E116" s="232">
        <v>2</v>
      </c>
      <c r="F116" s="232">
        <v>0.6</v>
      </c>
      <c r="G116" s="232">
        <v>5</v>
      </c>
      <c r="H116" s="232">
        <v>1</v>
      </c>
      <c r="I116" s="232">
        <v>23</v>
      </c>
      <c r="J116" s="232">
        <v>1</v>
      </c>
      <c r="K116" s="232">
        <v>25</v>
      </c>
      <c r="L116" s="232">
        <v>1</v>
      </c>
      <c r="M116" s="232"/>
      <c r="N116" s="232"/>
      <c r="O116" s="232"/>
      <c r="P116" s="232"/>
    </row>
    <row r="117" spans="2:16" x14ac:dyDescent="0.35">
      <c r="B117" s="232" t="s">
        <v>305</v>
      </c>
      <c r="C117" s="232" t="s">
        <v>89</v>
      </c>
      <c r="D117" s="232">
        <v>0.6</v>
      </c>
      <c r="E117" s="232">
        <v>2</v>
      </c>
      <c r="F117" s="232">
        <v>0.6</v>
      </c>
      <c r="G117" s="232">
        <v>5</v>
      </c>
      <c r="H117" s="232">
        <v>1</v>
      </c>
      <c r="I117" s="232">
        <v>24</v>
      </c>
      <c r="J117" s="232">
        <v>1</v>
      </c>
      <c r="K117" s="232">
        <v>25</v>
      </c>
      <c r="L117" s="232">
        <v>1</v>
      </c>
      <c r="M117" s="232"/>
      <c r="N117" s="232"/>
      <c r="O117" s="232"/>
      <c r="P117" s="232"/>
    </row>
    <row r="118" spans="2:16" x14ac:dyDescent="0.35">
      <c r="B118" s="232" t="s">
        <v>306</v>
      </c>
      <c r="C118" s="232" t="s">
        <v>89</v>
      </c>
      <c r="D118" s="232">
        <v>0.6</v>
      </c>
      <c r="E118" s="232">
        <v>2</v>
      </c>
      <c r="F118" s="232">
        <v>0.6</v>
      </c>
      <c r="G118" s="232">
        <v>5</v>
      </c>
      <c r="H118" s="232">
        <v>-1</v>
      </c>
      <c r="I118" s="232">
        <v>23</v>
      </c>
      <c r="J118" s="232">
        <v>-1</v>
      </c>
      <c r="K118" s="232">
        <v>25</v>
      </c>
      <c r="L118" s="232">
        <v>1</v>
      </c>
      <c r="M118" s="232"/>
      <c r="N118" s="232"/>
      <c r="O118" s="232"/>
      <c r="P118" s="232"/>
    </row>
    <row r="119" spans="2:16" x14ac:dyDescent="0.35">
      <c r="B119" s="232" t="s">
        <v>307</v>
      </c>
      <c r="C119" s="232" t="s">
        <v>89</v>
      </c>
      <c r="D119" s="232">
        <v>0.6</v>
      </c>
      <c r="E119" s="232">
        <v>2</v>
      </c>
      <c r="F119" s="232">
        <v>0.6</v>
      </c>
      <c r="G119" s="232">
        <v>5</v>
      </c>
      <c r="H119" s="232">
        <v>-1</v>
      </c>
      <c r="I119" s="232">
        <v>24</v>
      </c>
      <c r="J119" s="232">
        <v>-1</v>
      </c>
      <c r="K119" s="232">
        <v>25</v>
      </c>
      <c r="L119" s="232">
        <v>1</v>
      </c>
      <c r="M119" s="232"/>
      <c r="N119" s="232"/>
      <c r="O119" s="232"/>
      <c r="P119" s="232"/>
    </row>
    <row r="120" spans="2:16" x14ac:dyDescent="0.35">
      <c r="B120" s="232" t="s">
        <v>308</v>
      </c>
      <c r="C120" s="232" t="s">
        <v>89</v>
      </c>
      <c r="D120" s="232">
        <v>0.6</v>
      </c>
      <c r="E120" s="232">
        <v>2</v>
      </c>
      <c r="F120" s="232">
        <v>0.6</v>
      </c>
      <c r="G120" s="232">
        <v>5</v>
      </c>
      <c r="H120" s="232">
        <v>1</v>
      </c>
      <c r="I120" s="232">
        <v>9</v>
      </c>
      <c r="J120" s="232">
        <v>1</v>
      </c>
      <c r="K120" s="232">
        <v>25</v>
      </c>
      <c r="L120" s="232">
        <v>-1</v>
      </c>
      <c r="M120" s="232"/>
      <c r="N120" s="232"/>
      <c r="O120" s="232"/>
      <c r="P120" s="232"/>
    </row>
    <row r="121" spans="2:16" x14ac:dyDescent="0.35">
      <c r="B121" s="232" t="s">
        <v>309</v>
      </c>
      <c r="C121" s="232" t="s">
        <v>89</v>
      </c>
      <c r="D121" s="232">
        <v>0.6</v>
      </c>
      <c r="E121" s="232">
        <v>2</v>
      </c>
      <c r="F121" s="232">
        <v>0.6</v>
      </c>
      <c r="G121" s="232">
        <v>5</v>
      </c>
      <c r="H121" s="232">
        <v>1</v>
      </c>
      <c r="I121" s="232">
        <v>10</v>
      </c>
      <c r="J121" s="232">
        <v>1</v>
      </c>
      <c r="K121" s="232">
        <v>25</v>
      </c>
      <c r="L121" s="232">
        <v>-1</v>
      </c>
      <c r="M121" s="232"/>
      <c r="N121" s="232"/>
      <c r="O121" s="232"/>
      <c r="P121" s="232"/>
    </row>
    <row r="122" spans="2:16" x14ac:dyDescent="0.35">
      <c r="B122" s="232" t="s">
        <v>310</v>
      </c>
      <c r="C122" s="232" t="s">
        <v>89</v>
      </c>
      <c r="D122" s="232">
        <v>0.6</v>
      </c>
      <c r="E122" s="232">
        <v>2</v>
      </c>
      <c r="F122" s="232">
        <v>0.6</v>
      </c>
      <c r="G122" s="232">
        <v>5</v>
      </c>
      <c r="H122" s="232">
        <v>-1</v>
      </c>
      <c r="I122" s="232">
        <v>9</v>
      </c>
      <c r="J122" s="232">
        <v>-1</v>
      </c>
      <c r="K122" s="232">
        <v>25</v>
      </c>
      <c r="L122" s="232">
        <v>-1</v>
      </c>
      <c r="M122" s="232"/>
      <c r="N122" s="232"/>
      <c r="O122" s="232"/>
      <c r="P122" s="232"/>
    </row>
    <row r="123" spans="2:16" x14ac:dyDescent="0.35">
      <c r="B123" s="232" t="s">
        <v>311</v>
      </c>
      <c r="C123" s="232" t="s">
        <v>89</v>
      </c>
      <c r="D123" s="232">
        <v>0.6</v>
      </c>
      <c r="E123" s="232">
        <v>2</v>
      </c>
      <c r="F123" s="232">
        <v>0.6</v>
      </c>
      <c r="G123" s="232">
        <v>5</v>
      </c>
      <c r="H123" s="232">
        <v>-1</v>
      </c>
      <c r="I123" s="232">
        <v>10</v>
      </c>
      <c r="J123" s="232">
        <v>-1</v>
      </c>
      <c r="K123" s="232">
        <v>25</v>
      </c>
      <c r="L123" s="232">
        <v>-1</v>
      </c>
      <c r="M123" s="232"/>
      <c r="N123" s="232"/>
      <c r="O123" s="232"/>
      <c r="P123" s="232"/>
    </row>
    <row r="124" spans="2:16" x14ac:dyDescent="0.35">
      <c r="B124" s="232" t="s">
        <v>312</v>
      </c>
      <c r="C124" s="232" t="s">
        <v>89</v>
      </c>
      <c r="D124" s="232">
        <v>0.6</v>
      </c>
      <c r="E124" s="232">
        <v>2</v>
      </c>
      <c r="F124" s="232">
        <v>0.6</v>
      </c>
      <c r="G124" s="232">
        <v>5</v>
      </c>
      <c r="H124" s="232">
        <v>1</v>
      </c>
      <c r="I124" s="232">
        <v>23</v>
      </c>
      <c r="J124" s="232">
        <v>1</v>
      </c>
      <c r="K124" s="232">
        <v>25</v>
      </c>
      <c r="L124" s="232">
        <v>-1</v>
      </c>
      <c r="M124" s="232"/>
      <c r="N124" s="232"/>
      <c r="O124" s="232"/>
      <c r="P124" s="232"/>
    </row>
    <row r="125" spans="2:16" x14ac:dyDescent="0.35">
      <c r="B125" s="232" t="s">
        <v>313</v>
      </c>
      <c r="C125" s="232" t="s">
        <v>89</v>
      </c>
      <c r="D125" s="232">
        <v>0.6</v>
      </c>
      <c r="E125" s="232">
        <v>2</v>
      </c>
      <c r="F125" s="232">
        <v>0.6</v>
      </c>
      <c r="G125" s="232">
        <v>5</v>
      </c>
      <c r="H125" s="232">
        <v>1</v>
      </c>
      <c r="I125" s="232">
        <v>24</v>
      </c>
      <c r="J125" s="232">
        <v>1</v>
      </c>
      <c r="K125" s="232">
        <v>25</v>
      </c>
      <c r="L125" s="232">
        <v>-1</v>
      </c>
      <c r="M125" s="232"/>
      <c r="N125" s="232"/>
      <c r="O125" s="232"/>
      <c r="P125" s="232"/>
    </row>
    <row r="126" spans="2:16" x14ac:dyDescent="0.35">
      <c r="B126" s="232" t="s">
        <v>314</v>
      </c>
      <c r="C126" s="232" t="s">
        <v>89</v>
      </c>
      <c r="D126" s="232">
        <v>0.6</v>
      </c>
      <c r="E126" s="232">
        <v>2</v>
      </c>
      <c r="F126" s="232">
        <v>0.6</v>
      </c>
      <c r="G126" s="232">
        <v>5</v>
      </c>
      <c r="H126" s="232">
        <v>-1</v>
      </c>
      <c r="I126" s="232">
        <v>23</v>
      </c>
      <c r="J126" s="232">
        <v>-1</v>
      </c>
      <c r="K126" s="232">
        <v>25</v>
      </c>
      <c r="L126" s="232">
        <v>-1</v>
      </c>
      <c r="M126" s="232"/>
      <c r="N126" s="232"/>
      <c r="O126" s="232"/>
      <c r="P126" s="232"/>
    </row>
    <row r="127" spans="2:16" x14ac:dyDescent="0.35">
      <c r="B127" s="232" t="s">
        <v>315</v>
      </c>
      <c r="C127" s="232" t="s">
        <v>89</v>
      </c>
      <c r="D127" s="232">
        <v>0.6</v>
      </c>
      <c r="E127" s="232">
        <v>2</v>
      </c>
      <c r="F127" s="232">
        <v>0.6</v>
      </c>
      <c r="G127" s="232">
        <v>5</v>
      </c>
      <c r="H127" s="232">
        <v>-1</v>
      </c>
      <c r="I127" s="232">
        <v>24</v>
      </c>
      <c r="J127" s="232">
        <v>-1</v>
      </c>
      <c r="K127" s="232">
        <v>25</v>
      </c>
      <c r="L127" s="232">
        <v>-1</v>
      </c>
      <c r="M127" s="232"/>
      <c r="N127" s="232"/>
      <c r="O127" s="232"/>
      <c r="P127" s="232"/>
    </row>
    <row r="128" spans="2:16" x14ac:dyDescent="0.35">
      <c r="B128" s="232" t="s">
        <v>316</v>
      </c>
      <c r="C128" s="232" t="s">
        <v>89</v>
      </c>
      <c r="D128" s="232">
        <v>0.6</v>
      </c>
      <c r="E128" s="232">
        <v>4</v>
      </c>
      <c r="F128" s="232">
        <v>0.6</v>
      </c>
      <c r="G128" s="232">
        <v>5</v>
      </c>
      <c r="H128" s="232">
        <v>1</v>
      </c>
      <c r="I128" s="232">
        <v>15</v>
      </c>
      <c r="J128" s="232">
        <v>0.7</v>
      </c>
      <c r="K128" s="232"/>
      <c r="L128" s="232"/>
      <c r="M128" s="232"/>
      <c r="N128" s="232"/>
      <c r="O128" s="232"/>
      <c r="P128" s="232"/>
    </row>
    <row r="129" spans="2:16" x14ac:dyDescent="0.35">
      <c r="B129" s="232" t="s">
        <v>317</v>
      </c>
      <c r="C129" s="232" t="s">
        <v>89</v>
      </c>
      <c r="D129" s="232">
        <v>0.6</v>
      </c>
      <c r="E129" s="232">
        <v>4</v>
      </c>
      <c r="F129" s="232">
        <v>0.6</v>
      </c>
      <c r="G129" s="232">
        <v>5</v>
      </c>
      <c r="H129" s="232">
        <v>1</v>
      </c>
      <c r="I129" s="232">
        <v>16</v>
      </c>
      <c r="J129" s="232">
        <v>0.7</v>
      </c>
      <c r="K129" s="232"/>
      <c r="L129" s="232"/>
      <c r="M129" s="232"/>
      <c r="N129" s="232"/>
      <c r="O129" s="232"/>
      <c r="P129" s="232"/>
    </row>
    <row r="130" spans="2:16" x14ac:dyDescent="0.35">
      <c r="B130" s="232" t="s">
        <v>318</v>
      </c>
      <c r="C130" s="232" t="s">
        <v>89</v>
      </c>
      <c r="D130" s="232">
        <v>0.6</v>
      </c>
      <c r="E130" s="232">
        <v>4</v>
      </c>
      <c r="F130" s="232">
        <v>0.6</v>
      </c>
      <c r="G130" s="232">
        <v>5</v>
      </c>
      <c r="H130" s="232">
        <v>-1</v>
      </c>
      <c r="I130" s="232">
        <v>15</v>
      </c>
      <c r="J130" s="232">
        <v>-0.7</v>
      </c>
      <c r="K130" s="232"/>
      <c r="L130" s="232"/>
      <c r="M130" s="232"/>
      <c r="N130" s="232"/>
      <c r="O130" s="232"/>
      <c r="P130" s="232"/>
    </row>
    <row r="131" spans="2:16" x14ac:dyDescent="0.35">
      <c r="B131" s="232" t="s">
        <v>319</v>
      </c>
      <c r="C131" s="232" t="s">
        <v>89</v>
      </c>
      <c r="D131" s="232">
        <v>0.6</v>
      </c>
      <c r="E131" s="232">
        <v>4</v>
      </c>
      <c r="F131" s="232">
        <v>0.6</v>
      </c>
      <c r="G131" s="232">
        <v>5</v>
      </c>
      <c r="H131" s="232">
        <v>-1</v>
      </c>
      <c r="I131" s="232">
        <v>16</v>
      </c>
      <c r="J131" s="232">
        <v>-0.7</v>
      </c>
      <c r="K131" s="232"/>
      <c r="L131" s="232"/>
      <c r="M131" s="232"/>
      <c r="N131" s="232"/>
      <c r="O131" s="232"/>
      <c r="P131" s="232"/>
    </row>
    <row r="132" spans="2:16" x14ac:dyDescent="0.35">
      <c r="B132" s="232" t="s">
        <v>320</v>
      </c>
      <c r="C132" s="232" t="s">
        <v>89</v>
      </c>
      <c r="D132" s="232">
        <v>0.6</v>
      </c>
      <c r="E132" s="232">
        <v>2</v>
      </c>
      <c r="F132" s="232">
        <v>0.6</v>
      </c>
      <c r="G132" s="232">
        <v>5</v>
      </c>
      <c r="H132" s="232">
        <v>1</v>
      </c>
      <c r="I132" s="232">
        <v>13</v>
      </c>
      <c r="J132" s="232">
        <v>0.7</v>
      </c>
      <c r="K132" s="232"/>
      <c r="L132" s="232"/>
      <c r="M132" s="232"/>
      <c r="N132" s="232"/>
      <c r="O132" s="232"/>
      <c r="P132" s="232"/>
    </row>
    <row r="133" spans="2:16" x14ac:dyDescent="0.35">
      <c r="B133" s="232" t="s">
        <v>321</v>
      </c>
      <c r="C133" s="232" t="s">
        <v>89</v>
      </c>
      <c r="D133" s="232">
        <v>0.6</v>
      </c>
      <c r="E133" s="232">
        <v>2</v>
      </c>
      <c r="F133" s="232">
        <v>0.6</v>
      </c>
      <c r="G133" s="232">
        <v>5</v>
      </c>
      <c r="H133" s="232">
        <v>1</v>
      </c>
      <c r="I133" s="232">
        <v>14</v>
      </c>
      <c r="J133" s="232">
        <v>0.7</v>
      </c>
      <c r="K133" s="232"/>
      <c r="L133" s="232"/>
      <c r="M133" s="232"/>
      <c r="N133" s="232"/>
      <c r="O133" s="232"/>
      <c r="P133" s="232"/>
    </row>
    <row r="134" spans="2:16" x14ac:dyDescent="0.35">
      <c r="B134" s="232" t="s">
        <v>322</v>
      </c>
      <c r="C134" s="232" t="s">
        <v>89</v>
      </c>
      <c r="D134" s="232">
        <v>0.6</v>
      </c>
      <c r="E134" s="232">
        <v>2</v>
      </c>
      <c r="F134" s="232">
        <v>0.6</v>
      </c>
      <c r="G134" s="232">
        <v>5</v>
      </c>
      <c r="H134" s="232">
        <v>-1</v>
      </c>
      <c r="I134" s="232">
        <v>13</v>
      </c>
      <c r="J134" s="232">
        <v>-0.7</v>
      </c>
      <c r="K134" s="232"/>
      <c r="L134" s="232"/>
      <c r="M134" s="232"/>
      <c r="N134" s="232"/>
      <c r="O134" s="232"/>
      <c r="P134" s="232"/>
    </row>
    <row r="135" spans="2:16" x14ac:dyDescent="0.35">
      <c r="D135" s="232">
        <v>0.6</v>
      </c>
      <c r="E135" s="232">
        <v>2</v>
      </c>
      <c r="F135" s="232">
        <v>0.6</v>
      </c>
      <c r="G135" s="232">
        <v>5</v>
      </c>
      <c r="H135" s="232">
        <v>-1</v>
      </c>
      <c r="I135" s="232">
        <v>14</v>
      </c>
      <c r="J135" s="232">
        <v>-0.7</v>
      </c>
      <c r="K135" s="232"/>
      <c r="L135" s="232"/>
      <c r="M135" s="232"/>
      <c r="N135" s="232"/>
      <c r="O135" s="232"/>
      <c r="P135" s="232"/>
    </row>
    <row r="138" spans="2:16" x14ac:dyDescent="0.35">
      <c r="B138" s="228" t="s">
        <v>323</v>
      </c>
      <c r="C138" s="228"/>
    </row>
    <row r="139" spans="2:16" x14ac:dyDescent="0.35">
      <c r="B139" s="228" t="s">
        <v>223</v>
      </c>
      <c r="C139" s="228" t="s">
        <v>89</v>
      </c>
      <c r="D139" s="228"/>
      <c r="E139" s="228"/>
      <c r="F139" s="228"/>
      <c r="G139" s="228"/>
      <c r="H139" s="228"/>
      <c r="I139" s="228"/>
      <c r="J139" s="228"/>
      <c r="K139" s="228"/>
      <c r="L139" s="228"/>
      <c r="M139" s="228"/>
      <c r="N139" s="228"/>
      <c r="O139" s="228"/>
      <c r="P139" s="228"/>
    </row>
    <row r="140" spans="2:16" x14ac:dyDescent="0.35">
      <c r="B140" s="228" t="s">
        <v>224</v>
      </c>
      <c r="C140" s="228" t="s">
        <v>89</v>
      </c>
      <c r="D140" s="228">
        <v>1</v>
      </c>
      <c r="E140" s="228">
        <v>2</v>
      </c>
      <c r="F140" s="228">
        <v>1</v>
      </c>
      <c r="G140" s="228">
        <v>5</v>
      </c>
      <c r="H140" s="228">
        <v>1</v>
      </c>
      <c r="I140" s="228">
        <v>6</v>
      </c>
      <c r="J140" s="228">
        <v>1</v>
      </c>
      <c r="K140" s="228">
        <v>17</v>
      </c>
      <c r="L140" s="228">
        <v>0.7</v>
      </c>
      <c r="M140" s="228"/>
      <c r="N140" s="228"/>
      <c r="O140" s="228"/>
      <c r="P140" s="228"/>
    </row>
    <row r="141" spans="2:16" x14ac:dyDescent="0.35">
      <c r="B141" s="228" t="s">
        <v>225</v>
      </c>
      <c r="C141" s="228" t="s">
        <v>89</v>
      </c>
      <c r="D141" s="228">
        <v>1</v>
      </c>
      <c r="E141" s="228">
        <v>2</v>
      </c>
      <c r="F141" s="228">
        <v>1</v>
      </c>
      <c r="G141" s="228">
        <v>5</v>
      </c>
      <c r="H141" s="228">
        <v>1</v>
      </c>
      <c r="I141" s="228">
        <v>6</v>
      </c>
      <c r="J141" s="228">
        <v>1</v>
      </c>
      <c r="K141" s="228">
        <v>18</v>
      </c>
      <c r="L141" s="228">
        <v>0.7</v>
      </c>
      <c r="M141" s="228"/>
      <c r="N141" s="228"/>
      <c r="O141" s="228"/>
      <c r="P141" s="228"/>
    </row>
    <row r="142" spans="2:16" x14ac:dyDescent="0.35">
      <c r="B142" s="228" t="s">
        <v>226</v>
      </c>
      <c r="C142" s="228" t="s">
        <v>89</v>
      </c>
      <c r="D142" s="228">
        <v>1</v>
      </c>
      <c r="E142" s="228">
        <v>2</v>
      </c>
      <c r="F142" s="228">
        <v>1</v>
      </c>
      <c r="G142" s="228">
        <v>5</v>
      </c>
      <c r="H142" s="228">
        <v>1</v>
      </c>
      <c r="I142" s="228">
        <v>6</v>
      </c>
      <c r="J142" s="228">
        <v>1</v>
      </c>
      <c r="K142" s="228">
        <v>17</v>
      </c>
      <c r="L142" s="228">
        <v>-0.7</v>
      </c>
      <c r="M142" s="228"/>
      <c r="N142" s="228"/>
      <c r="O142" s="228"/>
      <c r="P142" s="228"/>
    </row>
    <row r="143" spans="2:16" x14ac:dyDescent="0.35">
      <c r="B143" s="228" t="s">
        <v>324</v>
      </c>
      <c r="C143" s="228" t="s">
        <v>89</v>
      </c>
      <c r="D143" s="228">
        <v>1</v>
      </c>
      <c r="E143" s="228">
        <v>2</v>
      </c>
      <c r="F143" s="228">
        <v>1</v>
      </c>
      <c r="G143" s="228">
        <v>5</v>
      </c>
      <c r="H143" s="228">
        <v>1</v>
      </c>
      <c r="I143" s="228">
        <v>6</v>
      </c>
      <c r="J143" s="228">
        <v>1</v>
      </c>
      <c r="K143" s="228">
        <v>18</v>
      </c>
      <c r="L143" s="228">
        <v>-0.7</v>
      </c>
      <c r="M143" s="228"/>
      <c r="N143" s="228"/>
      <c r="O143" s="228"/>
      <c r="P143" s="228"/>
    </row>
    <row r="144" spans="2:16" x14ac:dyDescent="0.35">
      <c r="B144" s="228" t="s">
        <v>325</v>
      </c>
      <c r="C144" s="228" t="s">
        <v>89</v>
      </c>
      <c r="D144" s="228">
        <v>1</v>
      </c>
      <c r="E144" s="228">
        <v>2</v>
      </c>
      <c r="F144" s="228">
        <v>1</v>
      </c>
      <c r="G144" s="228">
        <v>5</v>
      </c>
      <c r="H144" s="228">
        <v>1</v>
      </c>
      <c r="I144" s="228">
        <v>6</v>
      </c>
      <c r="J144" s="228">
        <v>0.75</v>
      </c>
      <c r="K144" s="228">
        <v>7</v>
      </c>
      <c r="L144" s="228">
        <v>0.35</v>
      </c>
      <c r="M144" s="228">
        <v>8</v>
      </c>
      <c r="N144" s="228">
        <v>0.35</v>
      </c>
      <c r="O144" s="228">
        <v>17</v>
      </c>
      <c r="P144" s="228">
        <v>0.52500000000000002</v>
      </c>
    </row>
    <row r="145" spans="2:16" x14ac:dyDescent="0.35">
      <c r="B145" s="228" t="s">
        <v>326</v>
      </c>
      <c r="C145" s="228" t="s">
        <v>89</v>
      </c>
      <c r="D145" s="228">
        <v>1</v>
      </c>
      <c r="E145" s="228">
        <v>2</v>
      </c>
      <c r="F145" s="228">
        <v>1</v>
      </c>
      <c r="G145" s="228">
        <v>5</v>
      </c>
      <c r="H145" s="228">
        <v>1</v>
      </c>
      <c r="I145" s="228">
        <v>6</v>
      </c>
      <c r="J145" s="228">
        <v>0.75</v>
      </c>
      <c r="K145" s="228">
        <v>7</v>
      </c>
      <c r="L145" s="228">
        <v>0.35</v>
      </c>
      <c r="M145" s="228">
        <v>8</v>
      </c>
      <c r="N145" s="228">
        <v>0.35</v>
      </c>
      <c r="O145" s="228">
        <v>18</v>
      </c>
      <c r="P145" s="228">
        <v>0.52500000000000002</v>
      </c>
    </row>
    <row r="146" spans="2:16" x14ac:dyDescent="0.35">
      <c r="B146" s="228" t="s">
        <v>327</v>
      </c>
      <c r="C146" s="228" t="s">
        <v>89</v>
      </c>
      <c r="D146" s="228">
        <v>1</v>
      </c>
      <c r="E146" s="228">
        <v>2</v>
      </c>
      <c r="F146" s="228">
        <v>1</v>
      </c>
      <c r="G146" s="228">
        <v>5</v>
      </c>
      <c r="H146" s="228">
        <v>1</v>
      </c>
      <c r="I146" s="228">
        <v>6</v>
      </c>
      <c r="J146" s="228">
        <v>0.75</v>
      </c>
      <c r="K146" s="228">
        <v>7</v>
      </c>
      <c r="L146" s="228">
        <v>0.35</v>
      </c>
      <c r="M146" s="228">
        <v>8</v>
      </c>
      <c r="N146" s="228">
        <v>0.35</v>
      </c>
      <c r="O146" s="228">
        <v>17</v>
      </c>
      <c r="P146" s="228">
        <v>-0.52500000000000002</v>
      </c>
    </row>
    <row r="147" spans="2:16" x14ac:dyDescent="0.35">
      <c r="D147" s="228">
        <v>1</v>
      </c>
      <c r="E147" s="228">
        <v>2</v>
      </c>
      <c r="F147" s="228">
        <v>1</v>
      </c>
      <c r="G147" s="228">
        <v>5</v>
      </c>
      <c r="H147" s="228">
        <v>1</v>
      </c>
      <c r="I147" s="228">
        <v>6</v>
      </c>
      <c r="J147" s="228">
        <v>0.75</v>
      </c>
      <c r="K147" s="228">
        <v>7</v>
      </c>
      <c r="L147" s="228">
        <v>0.35</v>
      </c>
      <c r="M147" s="228">
        <v>8</v>
      </c>
      <c r="N147" s="228">
        <v>0.35</v>
      </c>
      <c r="O147" s="228">
        <v>18</v>
      </c>
      <c r="P147" s="228">
        <v>-0.52500000000000002</v>
      </c>
    </row>
  </sheetData>
  <mergeCells count="2">
    <mergeCell ref="B3:C3"/>
    <mergeCell ref="B28:B29"/>
  </mergeCells>
  <pageMargins left="0.7" right="0.7" top="0.75" bottom="0.75" header="0.3" footer="0.3"/>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S95"/>
  <sheetViews>
    <sheetView topLeftCell="A36" zoomScaleNormal="100" workbookViewId="0">
      <selection activeCell="A27" sqref="A27"/>
    </sheetView>
  </sheetViews>
  <sheetFormatPr defaultRowHeight="14.5" x14ac:dyDescent="0.35"/>
  <cols>
    <col min="1" max="1" width="80.453125" customWidth="1"/>
    <col min="2" max="2" width="7.54296875" customWidth="1"/>
    <col min="3" max="4" width="10" customWidth="1"/>
    <col min="5" max="5" width="12.1796875" customWidth="1"/>
    <col min="6" max="6" width="9.1796875" customWidth="1"/>
    <col min="7" max="7" width="11.453125" customWidth="1"/>
    <col min="8" max="8" width="11.81640625" customWidth="1"/>
    <col min="9" max="9" width="11.453125" customWidth="1"/>
    <col min="10" max="10" width="7.7265625" customWidth="1"/>
    <col min="11" max="11" width="11.54296875" customWidth="1"/>
    <col min="13" max="13" width="16.1796875" customWidth="1"/>
    <col min="19" max="19" width="13" customWidth="1"/>
  </cols>
  <sheetData>
    <row r="2" spans="1:19" x14ac:dyDescent="0.35">
      <c r="A2" t="s">
        <v>328</v>
      </c>
    </row>
    <row r="4" spans="1:19" x14ac:dyDescent="0.35">
      <c r="A4" s="723" t="s">
        <v>329</v>
      </c>
      <c r="B4" s="723" t="s">
        <v>85</v>
      </c>
      <c r="C4" s="723" t="s">
        <v>86</v>
      </c>
      <c r="D4" s="723" t="s">
        <v>85</v>
      </c>
      <c r="E4" s="723" t="s">
        <v>86</v>
      </c>
      <c r="F4" s="723" t="s">
        <v>85</v>
      </c>
      <c r="G4" s="723" t="s">
        <v>86</v>
      </c>
      <c r="H4" s="723" t="s">
        <v>85</v>
      </c>
      <c r="I4" s="625" t="s">
        <v>86</v>
      </c>
      <c r="J4" s="627" t="s">
        <v>85</v>
      </c>
      <c r="K4" s="627" t="s">
        <v>86</v>
      </c>
      <c r="M4" s="238"/>
      <c r="N4" s="112"/>
    </row>
    <row r="5" spans="1:19" x14ac:dyDescent="0.35">
      <c r="A5" s="759" t="s">
        <v>330</v>
      </c>
      <c r="B5" s="227">
        <v>1</v>
      </c>
      <c r="C5" s="227">
        <v>5</v>
      </c>
      <c r="D5" s="227">
        <v>4</v>
      </c>
      <c r="E5" s="227">
        <v>5</v>
      </c>
      <c r="F5" s="227">
        <v>48</v>
      </c>
      <c r="G5" s="227">
        <v>0.375</v>
      </c>
      <c r="H5" s="227">
        <v>51</v>
      </c>
      <c r="I5" s="626">
        <v>0.375</v>
      </c>
      <c r="J5" s="237"/>
      <c r="K5" s="237"/>
      <c r="M5" s="651"/>
      <c r="N5" s="651"/>
      <c r="P5" s="50"/>
    </row>
    <row r="6" spans="1:19" x14ac:dyDescent="0.35">
      <c r="A6" s="759" t="s">
        <v>331</v>
      </c>
      <c r="B6" s="227">
        <v>1</v>
      </c>
      <c r="C6" s="227">
        <v>5</v>
      </c>
      <c r="D6" s="227">
        <v>4</v>
      </c>
      <c r="E6" s="227">
        <v>5</v>
      </c>
      <c r="F6" s="227">
        <v>48</v>
      </c>
      <c r="G6" s="227">
        <v>-0.375</v>
      </c>
      <c r="H6" s="227">
        <v>51</v>
      </c>
      <c r="I6" s="626">
        <v>-0.375</v>
      </c>
      <c r="J6" s="237"/>
      <c r="K6" s="237"/>
      <c r="M6" s="651"/>
      <c r="N6" s="651"/>
      <c r="P6" s="50"/>
    </row>
    <row r="7" spans="1:19" x14ac:dyDescent="0.35">
      <c r="A7" s="759" t="s">
        <v>332</v>
      </c>
      <c r="B7" s="227">
        <v>1</v>
      </c>
      <c r="C7" s="227">
        <v>5</v>
      </c>
      <c r="D7" s="227">
        <v>4</v>
      </c>
      <c r="E7" s="227">
        <v>5</v>
      </c>
      <c r="F7" s="227">
        <v>47</v>
      </c>
      <c r="G7" s="227">
        <v>0.375</v>
      </c>
      <c r="H7" s="227">
        <v>52</v>
      </c>
      <c r="I7" s="626">
        <v>0.375</v>
      </c>
      <c r="J7" s="237"/>
      <c r="K7" s="237"/>
      <c r="M7" s="651"/>
      <c r="N7" s="651"/>
      <c r="P7" s="50"/>
    </row>
    <row r="8" spans="1:19" x14ac:dyDescent="0.35">
      <c r="A8" s="759" t="s">
        <v>333</v>
      </c>
      <c r="B8" s="227">
        <v>1</v>
      </c>
      <c r="C8" s="227">
        <v>5</v>
      </c>
      <c r="D8" s="227">
        <v>4</v>
      </c>
      <c r="E8" s="227">
        <v>5</v>
      </c>
      <c r="F8" s="227">
        <v>47</v>
      </c>
      <c r="G8" s="227">
        <v>-0.375</v>
      </c>
      <c r="H8" s="227">
        <v>52</v>
      </c>
      <c r="I8" s="626">
        <v>-0.375</v>
      </c>
      <c r="J8" s="237"/>
      <c r="K8" s="237"/>
      <c r="M8" s="651"/>
      <c r="N8" s="651"/>
      <c r="P8" s="50"/>
    </row>
    <row r="9" spans="1:19" x14ac:dyDescent="0.35">
      <c r="A9" s="759" t="s">
        <v>334</v>
      </c>
      <c r="B9" s="227">
        <v>1</v>
      </c>
      <c r="C9" s="227">
        <v>5</v>
      </c>
      <c r="D9" s="227">
        <v>4</v>
      </c>
      <c r="E9" s="227">
        <v>5</v>
      </c>
      <c r="F9" s="227">
        <v>46</v>
      </c>
      <c r="G9" s="227">
        <v>1.5</v>
      </c>
      <c r="H9" s="227"/>
      <c r="I9" s="626"/>
      <c r="J9" s="237"/>
      <c r="K9" s="237"/>
      <c r="M9" s="651"/>
      <c r="N9" s="651"/>
      <c r="P9" s="50"/>
    </row>
    <row r="10" spans="1:19" x14ac:dyDescent="0.35">
      <c r="A10" s="759" t="s">
        <v>335</v>
      </c>
      <c r="B10" s="227">
        <v>1</v>
      </c>
      <c r="C10" s="227">
        <v>5</v>
      </c>
      <c r="D10" s="227">
        <v>4</v>
      </c>
      <c r="E10" s="227">
        <v>5</v>
      </c>
      <c r="F10" s="227">
        <v>46</v>
      </c>
      <c r="G10" s="227">
        <v>-1.5</v>
      </c>
      <c r="H10" s="227"/>
      <c r="I10" s="626"/>
      <c r="J10" s="237"/>
      <c r="K10" s="237"/>
      <c r="M10" s="651"/>
      <c r="N10" s="651"/>
      <c r="P10" s="50"/>
    </row>
    <row r="11" spans="1:19" x14ac:dyDescent="0.35">
      <c r="A11" s="759" t="s">
        <v>336</v>
      </c>
      <c r="B11" s="227">
        <v>1</v>
      </c>
      <c r="C11" s="227">
        <v>5</v>
      </c>
      <c r="D11" s="227">
        <v>4</v>
      </c>
      <c r="E11" s="227">
        <v>5</v>
      </c>
      <c r="F11" s="227">
        <v>45</v>
      </c>
      <c r="G11" s="227">
        <v>1.5</v>
      </c>
      <c r="H11" s="227"/>
      <c r="I11" s="626"/>
      <c r="J11" s="237"/>
      <c r="K11" s="237"/>
      <c r="M11" s="651"/>
      <c r="N11" s="651"/>
      <c r="P11" s="50"/>
    </row>
    <row r="12" spans="1:19" x14ac:dyDescent="0.35">
      <c r="A12" s="759" t="s">
        <v>337</v>
      </c>
      <c r="B12" s="227">
        <v>1</v>
      </c>
      <c r="C12" s="227">
        <v>5</v>
      </c>
      <c r="D12" s="227">
        <v>4</v>
      </c>
      <c r="E12" s="227">
        <v>5</v>
      </c>
      <c r="F12" s="227">
        <v>45</v>
      </c>
      <c r="G12" s="227">
        <v>-1.5</v>
      </c>
      <c r="H12" s="227"/>
      <c r="I12" s="626"/>
      <c r="J12" s="237"/>
      <c r="K12" s="237"/>
      <c r="M12" s="651"/>
      <c r="N12" s="651"/>
      <c r="P12" s="50"/>
      <c r="Q12" s="1086"/>
      <c r="R12" s="1086"/>
      <c r="S12" s="1086"/>
    </row>
    <row r="13" spans="1:19" x14ac:dyDescent="0.35">
      <c r="A13" s="759" t="s">
        <v>338</v>
      </c>
      <c r="B13" s="227">
        <v>1</v>
      </c>
      <c r="C13" s="227">
        <v>1.7749999999999999</v>
      </c>
      <c r="D13" s="227">
        <v>4</v>
      </c>
      <c r="E13" s="227">
        <v>1.7749999999999999</v>
      </c>
      <c r="F13" s="227">
        <v>48</v>
      </c>
      <c r="G13" s="227">
        <v>0.26500000000000001</v>
      </c>
      <c r="H13" s="227">
        <v>51</v>
      </c>
      <c r="I13" s="626">
        <v>0.26500000000000001</v>
      </c>
      <c r="J13" s="237">
        <v>46</v>
      </c>
      <c r="K13" s="237">
        <v>1.05</v>
      </c>
      <c r="M13" s="651"/>
      <c r="N13" s="651"/>
      <c r="P13" s="50"/>
    </row>
    <row r="14" spans="1:19" x14ac:dyDescent="0.35">
      <c r="A14" s="759" t="s">
        <v>339</v>
      </c>
      <c r="B14" s="227">
        <v>1</v>
      </c>
      <c r="C14" s="227">
        <v>1.7749999999999999</v>
      </c>
      <c r="D14" s="227">
        <v>4</v>
      </c>
      <c r="E14" s="227">
        <v>1.7749999999999999</v>
      </c>
      <c r="F14" s="227">
        <v>48</v>
      </c>
      <c r="G14" s="227">
        <v>-0.26500000000000001</v>
      </c>
      <c r="H14" s="227">
        <v>51</v>
      </c>
      <c r="I14" s="626">
        <v>-0.26500000000000001</v>
      </c>
      <c r="J14" s="237">
        <v>46</v>
      </c>
      <c r="K14" s="237">
        <v>-1.05</v>
      </c>
      <c r="M14" s="651"/>
      <c r="N14" s="651"/>
      <c r="P14" s="50"/>
    </row>
    <row r="15" spans="1:19" x14ac:dyDescent="0.35">
      <c r="A15" s="759" t="s">
        <v>340</v>
      </c>
      <c r="B15" s="227">
        <v>1</v>
      </c>
      <c r="C15" s="227">
        <v>1.7749999999999999</v>
      </c>
      <c r="D15" s="227">
        <v>4</v>
      </c>
      <c r="E15" s="227">
        <v>1.7749999999999999</v>
      </c>
      <c r="F15" s="227">
        <v>47</v>
      </c>
      <c r="G15" s="227">
        <v>0.26500000000000001</v>
      </c>
      <c r="H15" s="227">
        <v>49</v>
      </c>
      <c r="I15" s="626">
        <v>0.26500000000000001</v>
      </c>
      <c r="J15" s="237">
        <v>45</v>
      </c>
      <c r="K15" s="237">
        <v>1.05</v>
      </c>
      <c r="M15" s="651"/>
      <c r="N15" s="651"/>
      <c r="P15" s="50"/>
    </row>
    <row r="16" spans="1:19" x14ac:dyDescent="0.35">
      <c r="A16" s="759" t="s">
        <v>341</v>
      </c>
      <c r="B16" s="227">
        <v>1</v>
      </c>
      <c r="C16" s="227">
        <v>1.7749999999999999</v>
      </c>
      <c r="D16" s="227">
        <v>4</v>
      </c>
      <c r="E16" s="227">
        <v>1.7749999999999999</v>
      </c>
      <c r="F16" s="227">
        <v>47</v>
      </c>
      <c r="G16" s="227">
        <v>-0.26500000000000001</v>
      </c>
      <c r="H16" s="227">
        <v>49</v>
      </c>
      <c r="I16" s="626">
        <v>-0.26500000000000001</v>
      </c>
      <c r="J16" s="237">
        <v>45</v>
      </c>
      <c r="K16" s="237">
        <v>-1.05</v>
      </c>
      <c r="M16" s="651"/>
      <c r="N16" s="651"/>
      <c r="P16" s="50"/>
    </row>
    <row r="17" spans="1:16" x14ac:dyDescent="0.35">
      <c r="M17" s="651"/>
      <c r="N17" s="651"/>
      <c r="P17" s="50"/>
    </row>
    <row r="18" spans="1:16" x14ac:dyDescent="0.35">
      <c r="M18" s="651"/>
      <c r="N18" s="651"/>
      <c r="P18" s="50"/>
    </row>
    <row r="19" spans="1:16" x14ac:dyDescent="0.35">
      <c r="M19" s="651"/>
      <c r="N19" s="651"/>
      <c r="P19" s="50"/>
    </row>
    <row r="20" spans="1:16" ht="15" customHeight="1" thickBot="1" x14ac:dyDescent="0.4">
      <c r="M20" s="651"/>
      <c r="N20" s="651"/>
      <c r="P20" s="50"/>
    </row>
    <row r="21" spans="1:16" x14ac:dyDescent="0.35">
      <c r="A21" s="279" t="s">
        <v>342</v>
      </c>
      <c r="B21" s="261" t="s">
        <v>85</v>
      </c>
      <c r="C21" s="261" t="s">
        <v>86</v>
      </c>
      <c r="D21" s="261" t="s">
        <v>85</v>
      </c>
      <c r="E21" s="262" t="s">
        <v>86</v>
      </c>
      <c r="M21" s="651"/>
      <c r="N21" s="651"/>
      <c r="P21" s="50"/>
    </row>
    <row r="22" spans="1:16" x14ac:dyDescent="0.35">
      <c r="A22" s="263" t="s">
        <v>343</v>
      </c>
      <c r="B22" s="227">
        <v>1</v>
      </c>
      <c r="C22" s="227">
        <v>1.65</v>
      </c>
      <c r="D22" s="227">
        <v>4</v>
      </c>
      <c r="E22" s="264">
        <v>1.65</v>
      </c>
      <c r="M22" s="651"/>
      <c r="N22" s="651"/>
      <c r="P22" s="50"/>
    </row>
    <row r="23" spans="1:16" x14ac:dyDescent="0.35">
      <c r="A23" s="263" t="s">
        <v>344</v>
      </c>
      <c r="B23" s="227">
        <v>1</v>
      </c>
      <c r="C23" s="227">
        <v>3.5</v>
      </c>
      <c r="D23" s="227">
        <v>4</v>
      </c>
      <c r="E23" s="264">
        <v>3.5</v>
      </c>
      <c r="M23" s="651"/>
      <c r="N23" s="651"/>
      <c r="P23" s="50"/>
    </row>
    <row r="24" spans="1:16" x14ac:dyDescent="0.35">
      <c r="A24" s="263" t="s">
        <v>345</v>
      </c>
      <c r="B24" s="227">
        <v>1</v>
      </c>
      <c r="C24" s="227">
        <v>1.25</v>
      </c>
      <c r="D24" s="227">
        <v>4</v>
      </c>
      <c r="E24" s="264">
        <v>1.25</v>
      </c>
      <c r="M24" s="651"/>
      <c r="N24" s="651"/>
      <c r="P24" s="50"/>
    </row>
    <row r="25" spans="1:16" ht="15" customHeight="1" thickBot="1" x14ac:dyDescent="0.4">
      <c r="A25" s="265" t="s">
        <v>346</v>
      </c>
      <c r="B25" s="266">
        <v>1</v>
      </c>
      <c r="C25" s="266">
        <v>1</v>
      </c>
      <c r="D25" s="266">
        <v>4</v>
      </c>
      <c r="E25" s="267">
        <v>1</v>
      </c>
      <c r="M25" s="651"/>
      <c r="N25" s="651"/>
      <c r="P25" s="50"/>
    </row>
    <row r="26" spans="1:16" x14ac:dyDescent="0.35">
      <c r="M26" s="651"/>
      <c r="N26" s="651"/>
      <c r="P26" s="50"/>
    </row>
    <row r="27" spans="1:16" x14ac:dyDescent="0.35">
      <c r="A27" s="31"/>
      <c r="M27" s="651"/>
      <c r="N27" s="651"/>
      <c r="P27" s="50"/>
    </row>
    <row r="28" spans="1:16" ht="15" customHeight="1" thickBot="1" x14ac:dyDescent="0.4">
      <c r="J28" s="211"/>
      <c r="K28" s="212"/>
      <c r="M28" s="651"/>
      <c r="N28" s="651"/>
      <c r="P28" s="50"/>
    </row>
    <row r="29" spans="1:16" x14ac:dyDescent="0.35">
      <c r="A29" s="233"/>
      <c r="C29" s="251" t="s">
        <v>3</v>
      </c>
      <c r="D29" s="252" t="s">
        <v>4</v>
      </c>
      <c r="E29" s="253"/>
      <c r="F29" s="253"/>
      <c r="G29" s="254"/>
      <c r="J29" s="211"/>
      <c r="K29" s="212"/>
      <c r="M29" s="651"/>
      <c r="N29" s="651"/>
      <c r="P29" s="50"/>
    </row>
    <row r="30" spans="1:16" x14ac:dyDescent="0.35">
      <c r="A30" s="258" t="s">
        <v>347</v>
      </c>
      <c r="C30" s="276" t="s">
        <v>7</v>
      </c>
      <c r="D30" s="225" t="s">
        <v>8</v>
      </c>
      <c r="E30" s="229"/>
      <c r="F30" s="229"/>
      <c r="G30" s="255"/>
      <c r="J30" s="211"/>
      <c r="K30" s="212"/>
      <c r="M30" s="651"/>
      <c r="N30" s="651"/>
      <c r="P30" s="50"/>
    </row>
    <row r="31" spans="1:16" x14ac:dyDescent="0.35">
      <c r="A31" s="257" t="s">
        <v>348</v>
      </c>
      <c r="C31" s="277" t="s">
        <v>11</v>
      </c>
      <c r="D31" s="236" t="s">
        <v>12</v>
      </c>
      <c r="G31" s="213"/>
      <c r="J31" s="211"/>
      <c r="K31" s="212"/>
      <c r="M31" s="651"/>
      <c r="N31" s="651"/>
      <c r="P31" s="50"/>
    </row>
    <row r="32" spans="1:16" x14ac:dyDescent="0.35">
      <c r="A32" s="234"/>
      <c r="C32" s="277" t="s">
        <v>15</v>
      </c>
      <c r="D32" s="236" t="s">
        <v>16</v>
      </c>
      <c r="G32" s="213"/>
      <c r="P32" s="50"/>
    </row>
    <row r="33" spans="1:19" x14ac:dyDescent="0.35">
      <c r="A33" s="258" t="s">
        <v>349</v>
      </c>
      <c r="C33" s="277" t="s">
        <v>19</v>
      </c>
      <c r="D33" s="236" t="s">
        <v>20</v>
      </c>
      <c r="G33" s="213"/>
      <c r="P33" s="50"/>
    </row>
    <row r="34" spans="1:19" x14ac:dyDescent="0.35">
      <c r="A34" s="257" t="s">
        <v>350</v>
      </c>
      <c r="C34" s="277" t="s">
        <v>23</v>
      </c>
      <c r="D34" s="236" t="s">
        <v>24</v>
      </c>
      <c r="G34" s="213"/>
      <c r="P34" s="50"/>
    </row>
    <row r="35" spans="1:19" x14ac:dyDescent="0.35">
      <c r="A35" s="257" t="s">
        <v>351</v>
      </c>
      <c r="C35" s="277" t="s">
        <v>27</v>
      </c>
      <c r="D35" s="236" t="s">
        <v>28</v>
      </c>
      <c r="G35" s="213"/>
      <c r="P35" s="50"/>
    </row>
    <row r="36" spans="1:19" x14ac:dyDescent="0.35">
      <c r="A36" s="259" t="s">
        <v>352</v>
      </c>
      <c r="C36" s="277" t="s">
        <v>31</v>
      </c>
      <c r="D36" s="236" t="s">
        <v>32</v>
      </c>
      <c r="G36" s="213"/>
      <c r="P36" s="50"/>
      <c r="Q36" s="1085"/>
      <c r="R36" s="1086"/>
      <c r="S36" s="1086"/>
    </row>
    <row r="37" spans="1:19" ht="16" customHeight="1" x14ac:dyDescent="0.35">
      <c r="A37" s="259" t="s">
        <v>353</v>
      </c>
      <c r="C37" s="277" t="s">
        <v>35</v>
      </c>
      <c r="D37" s="236" t="s">
        <v>36</v>
      </c>
      <c r="G37" s="213"/>
      <c r="P37" s="50"/>
      <c r="Q37" s="1085"/>
      <c r="R37" s="1086"/>
      <c r="S37" s="1086"/>
    </row>
    <row r="38" spans="1:19" ht="16" customHeight="1" x14ac:dyDescent="0.35">
      <c r="A38" s="259" t="s">
        <v>354</v>
      </c>
      <c r="C38" s="277" t="s">
        <v>39</v>
      </c>
      <c r="D38" s="236" t="s">
        <v>40</v>
      </c>
      <c r="G38" s="213"/>
      <c r="P38" s="50"/>
      <c r="Q38" s="1085"/>
      <c r="R38" s="1086"/>
      <c r="S38" s="1086"/>
    </row>
    <row r="39" spans="1:19" x14ac:dyDescent="0.35">
      <c r="A39" s="259" t="s">
        <v>355</v>
      </c>
      <c r="C39" s="277" t="s">
        <v>43</v>
      </c>
      <c r="D39" s="236" t="s">
        <v>44</v>
      </c>
      <c r="G39" s="213"/>
      <c r="P39" s="50"/>
      <c r="Q39" s="1085"/>
      <c r="R39" s="1086"/>
      <c r="S39" s="1086"/>
    </row>
    <row r="40" spans="1:19" x14ac:dyDescent="0.35">
      <c r="A40" s="259" t="s">
        <v>356</v>
      </c>
      <c r="C40" s="277" t="s">
        <v>47</v>
      </c>
      <c r="D40" s="236" t="s">
        <v>48</v>
      </c>
      <c r="G40" s="213"/>
      <c r="P40" s="50"/>
      <c r="Q40" s="1085"/>
      <c r="R40" s="1086"/>
      <c r="S40" s="1086"/>
    </row>
    <row r="41" spans="1:19" x14ac:dyDescent="0.35">
      <c r="A41" s="260"/>
      <c r="C41" s="277" t="s">
        <v>51</v>
      </c>
      <c r="D41" s="236" t="s">
        <v>52</v>
      </c>
      <c r="G41" s="213"/>
      <c r="P41" s="50"/>
      <c r="Q41" s="1085"/>
      <c r="R41" s="1086"/>
      <c r="S41" s="1086"/>
    </row>
    <row r="42" spans="1:19" x14ac:dyDescent="0.35">
      <c r="A42" s="234"/>
      <c r="C42" s="277" t="s">
        <v>55</v>
      </c>
      <c r="D42" s="236" t="s">
        <v>56</v>
      </c>
      <c r="G42" s="213"/>
      <c r="P42" s="50"/>
      <c r="Q42" s="1085"/>
      <c r="R42" s="1086"/>
      <c r="S42" s="1086"/>
    </row>
    <row r="43" spans="1:19" x14ac:dyDescent="0.35">
      <c r="A43" s="258" t="s">
        <v>349</v>
      </c>
      <c r="C43" s="277" t="s">
        <v>59</v>
      </c>
      <c r="D43" s="236" t="s">
        <v>60</v>
      </c>
      <c r="G43" s="213"/>
      <c r="P43" s="50"/>
      <c r="Q43" s="1085"/>
      <c r="R43" s="1086"/>
      <c r="S43" s="1086"/>
    </row>
    <row r="44" spans="1:19" x14ac:dyDescent="0.35">
      <c r="A44" s="257" t="s">
        <v>357</v>
      </c>
      <c r="C44" s="277" t="s">
        <v>67</v>
      </c>
      <c r="D44" s="236" t="s">
        <v>68</v>
      </c>
      <c r="G44" s="213"/>
      <c r="P44" s="50"/>
      <c r="Q44" s="1085"/>
      <c r="R44" s="1086"/>
      <c r="S44" s="1086"/>
    </row>
    <row r="45" spans="1:19" x14ac:dyDescent="0.35">
      <c r="A45" s="257" t="s">
        <v>358</v>
      </c>
      <c r="C45" s="277" t="s">
        <v>71</v>
      </c>
      <c r="D45" s="236" t="s">
        <v>72</v>
      </c>
      <c r="G45" s="213"/>
      <c r="P45" s="50"/>
      <c r="Q45" s="1085"/>
      <c r="R45" s="1086"/>
      <c r="S45" s="1086"/>
    </row>
    <row r="46" spans="1:19" x14ac:dyDescent="0.35">
      <c r="A46" s="234"/>
      <c r="C46" s="277" t="s">
        <v>75</v>
      </c>
      <c r="D46" s="236" t="s">
        <v>76</v>
      </c>
      <c r="G46" s="213"/>
      <c r="P46" s="50"/>
      <c r="Q46" s="1085"/>
      <c r="R46" s="1086"/>
      <c r="S46" s="1086"/>
    </row>
    <row r="47" spans="1:19" ht="15" customHeight="1" thickBot="1" x14ac:dyDescent="0.4">
      <c r="A47" s="258" t="s">
        <v>359</v>
      </c>
      <c r="C47" s="278" t="s">
        <v>79</v>
      </c>
      <c r="D47" s="256" t="s">
        <v>80</v>
      </c>
      <c r="E47" s="214"/>
      <c r="F47" s="214"/>
      <c r="G47" s="215"/>
      <c r="P47" s="50"/>
      <c r="Q47" s="1085"/>
      <c r="R47" s="1086"/>
      <c r="S47" s="1086"/>
    </row>
    <row r="48" spans="1:19" x14ac:dyDescent="0.35">
      <c r="A48" s="257" t="s">
        <v>360</v>
      </c>
      <c r="P48" s="50"/>
      <c r="Q48" s="1085"/>
      <c r="R48" s="1086"/>
      <c r="S48" s="1086"/>
    </row>
    <row r="49" spans="1:19" x14ac:dyDescent="0.35">
      <c r="A49" s="257" t="s">
        <v>361</v>
      </c>
      <c r="P49" s="50"/>
      <c r="Q49" s="1085"/>
      <c r="R49" s="1086"/>
      <c r="S49" s="1086"/>
    </row>
    <row r="50" spans="1:19" x14ac:dyDescent="0.35">
      <c r="A50" s="257" t="s">
        <v>362</v>
      </c>
      <c r="P50" s="50"/>
      <c r="Q50" s="1085"/>
      <c r="R50" s="1086"/>
      <c r="S50" s="1086"/>
    </row>
    <row r="51" spans="1:19" x14ac:dyDescent="0.35">
      <c r="A51" s="257" t="s">
        <v>363</v>
      </c>
      <c r="P51" s="50"/>
      <c r="Q51" s="1085"/>
      <c r="R51" s="1086"/>
      <c r="S51" s="1086"/>
    </row>
    <row r="52" spans="1:19" x14ac:dyDescent="0.35">
      <c r="A52" s="257" t="s">
        <v>364</v>
      </c>
      <c r="P52" s="50"/>
      <c r="Q52" s="1085"/>
      <c r="R52" s="1086"/>
      <c r="S52" s="1086"/>
    </row>
    <row r="53" spans="1:19" ht="15" customHeight="1" thickBot="1" x14ac:dyDescent="0.4">
      <c r="A53" s="235"/>
      <c r="P53" s="50"/>
      <c r="Q53" s="1085"/>
      <c r="R53" s="1086"/>
      <c r="S53" s="1086"/>
    </row>
    <row r="54" spans="1:19" x14ac:dyDescent="0.35">
      <c r="P54" s="50"/>
      <c r="Q54" s="1085"/>
      <c r="R54" s="1086"/>
      <c r="S54" s="1086"/>
    </row>
    <row r="55" spans="1:19" x14ac:dyDescent="0.35">
      <c r="P55" s="50"/>
      <c r="Q55" s="1085"/>
      <c r="R55" s="1086"/>
      <c r="S55" s="1086"/>
    </row>
    <row r="56" spans="1:19" x14ac:dyDescent="0.35">
      <c r="P56" s="50"/>
      <c r="Q56" s="1085"/>
      <c r="R56" s="1086"/>
      <c r="S56" s="1086"/>
    </row>
    <row r="60" spans="1:19" ht="23.5" customHeight="1" x14ac:dyDescent="0.35">
      <c r="A60" s="628"/>
      <c r="B60" s="448"/>
      <c r="C60" s="448"/>
      <c r="D60" s="448"/>
      <c r="E60" s="448"/>
      <c r="F60" s="448"/>
      <c r="G60" s="448"/>
      <c r="H60" s="448"/>
      <c r="I60" s="448"/>
      <c r="J60" s="448"/>
      <c r="K60" s="448"/>
      <c r="L60" s="448"/>
      <c r="M60" s="448"/>
      <c r="N60" s="448"/>
      <c r="O60" s="448"/>
      <c r="P60" s="448"/>
      <c r="Q60" s="448"/>
      <c r="R60" s="448"/>
      <c r="S60" s="448"/>
    </row>
    <row r="61" spans="1:19" x14ac:dyDescent="0.35">
      <c r="A61" s="448"/>
      <c r="B61" s="448"/>
      <c r="C61" s="448"/>
      <c r="D61" s="448"/>
      <c r="E61" s="448"/>
      <c r="F61" s="448"/>
      <c r="G61" s="448"/>
      <c r="H61" s="448"/>
      <c r="I61" s="448"/>
      <c r="J61" s="448"/>
      <c r="K61" s="448"/>
      <c r="L61" s="448"/>
      <c r="M61" s="448"/>
      <c r="N61" s="448"/>
      <c r="O61" s="448"/>
      <c r="P61" s="448"/>
      <c r="Q61" s="448"/>
      <c r="R61" s="448"/>
      <c r="S61" s="448"/>
    </row>
    <row r="62" spans="1:19" ht="17.5" customHeight="1" x14ac:dyDescent="0.35">
      <c r="A62" s="629"/>
      <c r="B62" s="448"/>
      <c r="C62" s="448"/>
      <c r="D62" s="448"/>
      <c r="E62" s="448"/>
      <c r="F62" s="448"/>
      <c r="G62" s="448"/>
      <c r="H62" s="448"/>
      <c r="I62" s="448"/>
      <c r="J62" s="448"/>
      <c r="K62" s="448"/>
      <c r="L62" s="448"/>
      <c r="M62" s="448"/>
      <c r="N62" s="448"/>
      <c r="O62" s="448"/>
      <c r="P62" s="448"/>
      <c r="Q62" s="448"/>
      <c r="R62" s="448"/>
      <c r="S62" s="448"/>
    </row>
    <row r="63" spans="1:19" x14ac:dyDescent="0.35">
      <c r="A63" s="448"/>
      <c r="B63" s="448"/>
      <c r="C63" s="448"/>
      <c r="D63" s="448"/>
      <c r="E63" s="448"/>
      <c r="F63" s="448"/>
      <c r="G63" s="448"/>
      <c r="H63" s="448"/>
      <c r="I63" s="448"/>
      <c r="J63" s="448"/>
      <c r="K63" s="448"/>
      <c r="L63" s="448"/>
      <c r="M63" s="448"/>
      <c r="N63" s="448"/>
      <c r="O63" s="448"/>
      <c r="P63" s="448"/>
      <c r="Q63" s="448"/>
      <c r="R63" s="448"/>
      <c r="S63" s="448"/>
    </row>
    <row r="64" spans="1:19" x14ac:dyDescent="0.35">
      <c r="A64" s="448"/>
      <c r="B64" s="448"/>
      <c r="C64" s="448"/>
      <c r="D64" s="448"/>
      <c r="E64" s="448"/>
      <c r="F64" s="448"/>
      <c r="G64" s="448"/>
      <c r="H64" s="448"/>
      <c r="I64" s="448"/>
      <c r="J64" s="448"/>
      <c r="K64" s="448"/>
      <c r="L64" s="448"/>
      <c r="M64" s="448"/>
      <c r="N64" s="448"/>
      <c r="O64" s="448"/>
      <c r="P64" s="448"/>
      <c r="Q64" s="448"/>
      <c r="R64" s="448"/>
      <c r="S64" s="448"/>
    </row>
    <row r="65" spans="1:19" x14ac:dyDescent="0.35">
      <c r="A65" s="630"/>
      <c r="B65" s="448"/>
      <c r="C65" s="448"/>
      <c r="D65" s="448"/>
      <c r="E65" s="448"/>
      <c r="F65" s="448"/>
      <c r="G65" s="448"/>
      <c r="H65" s="448"/>
      <c r="I65" s="448"/>
      <c r="J65" s="448"/>
      <c r="K65" s="448"/>
      <c r="L65" s="448"/>
      <c r="M65" s="448"/>
      <c r="N65" s="448"/>
      <c r="O65" s="448"/>
      <c r="P65" s="448"/>
      <c r="Q65" s="448"/>
      <c r="R65" s="448"/>
      <c r="S65" s="448"/>
    </row>
    <row r="66" spans="1:19" x14ac:dyDescent="0.35">
      <c r="A66" s="631"/>
      <c r="B66" s="448"/>
      <c r="C66" s="448"/>
      <c r="D66" s="448"/>
      <c r="E66" s="448"/>
      <c r="F66" s="448"/>
      <c r="G66" s="448"/>
      <c r="H66" s="448"/>
      <c r="I66" s="448"/>
      <c r="J66" s="448"/>
      <c r="K66" s="448"/>
      <c r="L66" s="448"/>
      <c r="M66" s="448"/>
      <c r="N66" s="448"/>
      <c r="O66" s="448"/>
      <c r="P66" s="448"/>
      <c r="Q66" s="448"/>
      <c r="R66" s="448"/>
      <c r="S66" s="448"/>
    </row>
    <row r="67" spans="1:19" x14ac:dyDescent="0.35">
      <c r="A67" s="630"/>
      <c r="B67" s="448"/>
      <c r="C67" s="448"/>
      <c r="D67" s="448"/>
      <c r="E67" s="448"/>
      <c r="F67" s="448"/>
      <c r="G67" s="448"/>
      <c r="H67" s="448"/>
      <c r="I67" s="448"/>
      <c r="J67" s="448"/>
      <c r="K67" s="448"/>
      <c r="L67" s="448"/>
      <c r="M67" s="448"/>
      <c r="N67" s="448"/>
      <c r="O67" s="448"/>
      <c r="P67" s="448"/>
      <c r="Q67" s="448"/>
      <c r="R67" s="448"/>
      <c r="S67" s="448"/>
    </row>
    <row r="68" spans="1:19" x14ac:dyDescent="0.35">
      <c r="A68" s="631"/>
      <c r="B68" s="448"/>
      <c r="C68" s="448"/>
      <c r="D68" s="448"/>
      <c r="E68" s="448"/>
      <c r="F68" s="448"/>
      <c r="G68" s="448"/>
      <c r="H68" s="448"/>
      <c r="I68" s="448"/>
      <c r="J68" s="448"/>
      <c r="K68" s="448"/>
      <c r="L68" s="448"/>
      <c r="M68" s="448"/>
      <c r="N68" s="448"/>
      <c r="O68" s="448"/>
      <c r="P68" s="448"/>
      <c r="Q68" s="448"/>
      <c r="R68" s="448"/>
      <c r="S68" s="448"/>
    </row>
    <row r="69" spans="1:19" x14ac:dyDescent="0.35">
      <c r="A69" s="630"/>
      <c r="B69" s="448"/>
      <c r="C69" s="448"/>
      <c r="D69" s="448"/>
      <c r="E69" s="448"/>
      <c r="F69" s="448"/>
      <c r="G69" s="448"/>
      <c r="H69" s="448"/>
      <c r="I69" s="448"/>
      <c r="J69" s="448"/>
      <c r="K69" s="448"/>
      <c r="L69" s="448"/>
      <c r="M69" s="448"/>
      <c r="N69" s="448"/>
      <c r="O69" s="448"/>
      <c r="P69" s="448"/>
      <c r="Q69" s="448"/>
      <c r="R69" s="448"/>
      <c r="S69" s="448"/>
    </row>
    <row r="70" spans="1:19" x14ac:dyDescent="0.35">
      <c r="A70" s="631"/>
      <c r="B70" s="448"/>
      <c r="C70" s="448"/>
      <c r="D70" s="448"/>
      <c r="E70" s="448"/>
      <c r="F70" s="448"/>
      <c r="G70" s="448"/>
      <c r="H70" s="448"/>
      <c r="I70" s="448"/>
      <c r="J70" s="448"/>
      <c r="K70" s="448"/>
      <c r="L70" s="448"/>
      <c r="M70" s="448"/>
      <c r="N70" s="448"/>
      <c r="O70" s="448"/>
      <c r="P70" s="448"/>
      <c r="Q70" s="448"/>
      <c r="R70" s="448"/>
      <c r="S70" s="448"/>
    </row>
    <row r="71" spans="1:19" x14ac:dyDescent="0.35">
      <c r="A71" s="630"/>
      <c r="B71" s="448"/>
      <c r="C71" s="448"/>
      <c r="D71" s="448"/>
      <c r="E71" s="448"/>
      <c r="F71" s="448"/>
      <c r="G71" s="448"/>
      <c r="H71" s="448"/>
      <c r="I71" s="448"/>
      <c r="J71" s="448"/>
      <c r="K71" s="448"/>
      <c r="L71" s="448"/>
      <c r="M71" s="448"/>
      <c r="N71" s="448"/>
      <c r="O71" s="448"/>
      <c r="P71" s="448"/>
      <c r="Q71" s="448"/>
      <c r="R71" s="448"/>
      <c r="S71" s="448"/>
    </row>
    <row r="72" spans="1:19" x14ac:dyDescent="0.35">
      <c r="A72" s="630"/>
      <c r="B72" s="448"/>
      <c r="C72" s="448"/>
      <c r="D72" s="448"/>
      <c r="E72" s="448"/>
      <c r="F72" s="448"/>
      <c r="G72" s="448"/>
      <c r="H72" s="448"/>
      <c r="I72" s="448"/>
      <c r="J72" s="448"/>
      <c r="K72" s="448"/>
      <c r="L72" s="448"/>
      <c r="M72" s="448"/>
      <c r="N72" s="448"/>
      <c r="O72" s="448"/>
      <c r="P72" s="448"/>
      <c r="Q72" s="448"/>
      <c r="R72" s="448"/>
      <c r="S72" s="448"/>
    </row>
    <row r="73" spans="1:19" x14ac:dyDescent="0.35">
      <c r="A73" s="630"/>
      <c r="B73" s="448"/>
      <c r="C73" s="448"/>
      <c r="D73" s="448"/>
      <c r="E73" s="448"/>
      <c r="F73" s="448"/>
      <c r="G73" s="448"/>
      <c r="H73" s="448"/>
      <c r="I73" s="448"/>
      <c r="J73" s="448"/>
      <c r="K73" s="448"/>
      <c r="L73" s="448"/>
      <c r="M73" s="448"/>
      <c r="N73" s="448"/>
      <c r="O73" s="448"/>
      <c r="P73" s="448"/>
      <c r="Q73" s="448"/>
      <c r="R73" s="448"/>
      <c r="S73" s="448"/>
    </row>
    <row r="74" spans="1:19" x14ac:dyDescent="0.35">
      <c r="A74" s="448"/>
      <c r="B74" s="448"/>
      <c r="C74" s="448"/>
      <c r="D74" s="448"/>
      <c r="E74" s="448"/>
      <c r="F74" s="448"/>
      <c r="G74" s="448"/>
      <c r="H74" s="448"/>
      <c r="I74" s="448"/>
      <c r="J74" s="448"/>
      <c r="K74" s="448"/>
      <c r="L74" s="448"/>
      <c r="M74" s="448"/>
      <c r="N74" s="448"/>
      <c r="O74" s="448"/>
      <c r="P74" s="448"/>
      <c r="Q74" s="448"/>
      <c r="R74" s="448"/>
      <c r="S74" s="448"/>
    </row>
    <row r="75" spans="1:19" ht="17.5" customHeight="1" x14ac:dyDescent="0.35">
      <c r="A75" s="629"/>
      <c r="B75" s="448"/>
      <c r="C75" s="448"/>
      <c r="D75" s="448"/>
      <c r="E75" s="448"/>
      <c r="F75" s="448"/>
      <c r="G75" s="448"/>
      <c r="H75" s="448"/>
      <c r="I75" s="448"/>
      <c r="J75" s="448"/>
      <c r="K75" s="448"/>
      <c r="L75" s="448"/>
      <c r="M75" s="448"/>
      <c r="N75" s="448"/>
      <c r="O75" s="448"/>
      <c r="P75" s="448"/>
      <c r="Q75" s="448"/>
      <c r="R75" s="448"/>
      <c r="S75" s="448"/>
    </row>
    <row r="76" spans="1:19" x14ac:dyDescent="0.35">
      <c r="A76" s="448"/>
      <c r="B76" s="448"/>
      <c r="C76" s="448"/>
      <c r="D76" s="448"/>
      <c r="E76" s="448"/>
      <c r="F76" s="448"/>
      <c r="G76" s="448"/>
      <c r="H76" s="448"/>
      <c r="I76" s="448"/>
      <c r="J76" s="448"/>
      <c r="K76" s="448"/>
      <c r="L76" s="448"/>
      <c r="M76" s="448"/>
      <c r="N76" s="448"/>
      <c r="O76" s="448"/>
      <c r="P76" s="448"/>
      <c r="Q76" s="448"/>
      <c r="R76" s="448"/>
      <c r="S76" s="448"/>
    </row>
    <row r="77" spans="1:19" x14ac:dyDescent="0.35">
      <c r="A77" s="448"/>
      <c r="B77" s="448"/>
      <c r="C77" s="448"/>
      <c r="D77" s="448"/>
      <c r="E77" s="448"/>
      <c r="F77" s="448"/>
      <c r="G77" s="448"/>
      <c r="H77" s="448"/>
      <c r="I77" s="448"/>
      <c r="J77" s="448"/>
      <c r="K77" s="448"/>
      <c r="L77" s="448"/>
      <c r="M77" s="448"/>
      <c r="N77" s="448"/>
      <c r="O77" s="448"/>
      <c r="P77" s="448"/>
      <c r="Q77" s="448"/>
      <c r="R77" s="448"/>
      <c r="S77" s="448"/>
    </row>
    <row r="78" spans="1:19" x14ac:dyDescent="0.35">
      <c r="A78" s="448"/>
      <c r="B78" s="448"/>
      <c r="C78" s="448"/>
      <c r="D78" s="448"/>
      <c r="E78" s="448"/>
      <c r="F78" s="448"/>
      <c r="G78" s="448"/>
      <c r="H78" s="448"/>
      <c r="I78" s="448"/>
      <c r="J78" s="448"/>
      <c r="K78" s="448"/>
      <c r="L78" s="448"/>
      <c r="M78" s="448"/>
      <c r="N78" s="448"/>
      <c r="O78" s="448"/>
      <c r="P78" s="448"/>
      <c r="Q78" s="448"/>
      <c r="R78" s="448"/>
      <c r="S78" s="448"/>
    </row>
    <row r="79" spans="1:19" ht="17.5" customHeight="1" x14ac:dyDescent="0.35">
      <c r="A79" s="629"/>
      <c r="B79" s="448"/>
      <c r="C79" s="448"/>
      <c r="D79" s="448"/>
      <c r="E79" s="448"/>
      <c r="F79" s="448"/>
      <c r="G79" s="448"/>
      <c r="H79" s="448"/>
      <c r="I79" s="448"/>
      <c r="J79" s="448"/>
      <c r="K79" s="448"/>
      <c r="L79" s="448"/>
      <c r="M79" s="448"/>
      <c r="N79" s="448"/>
      <c r="O79" s="448"/>
      <c r="P79" s="448"/>
      <c r="Q79" s="448"/>
      <c r="R79" s="448"/>
      <c r="S79" s="448"/>
    </row>
    <row r="80" spans="1:19" x14ac:dyDescent="0.35">
      <c r="A80" s="448"/>
      <c r="B80" s="448"/>
      <c r="C80" s="448"/>
      <c r="D80" s="448"/>
      <c r="E80" s="448"/>
      <c r="F80" s="448"/>
      <c r="G80" s="448"/>
      <c r="H80" s="448"/>
      <c r="I80" s="448"/>
      <c r="J80" s="448"/>
      <c r="K80" s="448"/>
      <c r="L80" s="448"/>
      <c r="M80" s="448"/>
      <c r="N80" s="448"/>
      <c r="O80" s="448"/>
      <c r="P80" s="448"/>
      <c r="Q80" s="448"/>
      <c r="R80" s="448"/>
      <c r="S80" s="448"/>
    </row>
    <row r="81" spans="1:19" x14ac:dyDescent="0.35">
      <c r="A81" s="448"/>
      <c r="B81" s="448"/>
      <c r="C81" s="448"/>
      <c r="D81" s="448"/>
      <c r="E81" s="448"/>
      <c r="F81" s="448"/>
      <c r="G81" s="448"/>
      <c r="H81" s="448"/>
      <c r="I81" s="448"/>
      <c r="J81" s="448"/>
      <c r="K81" s="448"/>
      <c r="L81" s="448"/>
      <c r="M81" s="448"/>
      <c r="N81" s="448"/>
      <c r="O81" s="448"/>
      <c r="P81" s="448"/>
      <c r="Q81" s="448"/>
      <c r="R81" s="448"/>
      <c r="S81" s="448"/>
    </row>
    <row r="82" spans="1:19" x14ac:dyDescent="0.35">
      <c r="A82" s="630"/>
      <c r="B82" s="448"/>
      <c r="C82" s="448"/>
      <c r="D82" s="448"/>
      <c r="E82" s="448"/>
      <c r="F82" s="448"/>
      <c r="G82" s="448"/>
      <c r="H82" s="448"/>
      <c r="I82" s="448"/>
      <c r="J82" s="448"/>
      <c r="K82" s="448"/>
      <c r="L82" s="448"/>
      <c r="M82" s="448"/>
      <c r="N82" s="448"/>
      <c r="O82" s="448"/>
      <c r="P82" s="448"/>
      <c r="Q82" s="448"/>
      <c r="R82" s="448"/>
      <c r="S82" s="448"/>
    </row>
    <row r="83" spans="1:19" x14ac:dyDescent="0.35">
      <c r="A83" s="630"/>
      <c r="B83" s="448"/>
      <c r="C83" s="448"/>
      <c r="D83" s="448"/>
      <c r="E83" s="448"/>
      <c r="F83" s="448"/>
      <c r="G83" s="448"/>
      <c r="H83" s="448"/>
      <c r="I83" s="448"/>
      <c r="J83" s="448"/>
      <c r="K83" s="448"/>
      <c r="L83" s="448"/>
      <c r="M83" s="448"/>
      <c r="N83" s="448"/>
      <c r="O83" s="448"/>
      <c r="P83" s="448"/>
      <c r="Q83" s="448"/>
      <c r="R83" s="448"/>
      <c r="S83" s="448"/>
    </row>
    <row r="84" spans="1:19" x14ac:dyDescent="0.35">
      <c r="A84" s="448"/>
      <c r="B84" s="448"/>
      <c r="C84" s="448"/>
      <c r="D84" s="448"/>
      <c r="E84" s="448"/>
      <c r="F84" s="448"/>
      <c r="G84" s="448"/>
      <c r="H84" s="448"/>
      <c r="I84" s="448"/>
      <c r="J84" s="448"/>
      <c r="K84" s="448"/>
      <c r="L84" s="448"/>
      <c r="M84" s="448"/>
      <c r="N84" s="448"/>
      <c r="O84" s="448"/>
      <c r="P84" s="448"/>
      <c r="Q84" s="448"/>
      <c r="R84" s="448"/>
      <c r="S84" s="448"/>
    </row>
    <row r="85" spans="1:19" x14ac:dyDescent="0.35">
      <c r="A85" s="448"/>
      <c r="B85" s="448"/>
      <c r="C85" s="448"/>
      <c r="D85" s="448"/>
      <c r="E85" s="448"/>
      <c r="F85" s="448"/>
      <c r="G85" s="448"/>
      <c r="H85" s="448"/>
      <c r="I85" s="448"/>
      <c r="J85" s="448"/>
      <c r="K85" s="448"/>
      <c r="L85" s="448"/>
      <c r="M85" s="448"/>
      <c r="N85" s="448"/>
      <c r="O85" s="448"/>
      <c r="P85" s="448"/>
      <c r="Q85" s="448"/>
      <c r="R85" s="448"/>
      <c r="S85" s="448"/>
    </row>
    <row r="86" spans="1:19" x14ac:dyDescent="0.35">
      <c r="A86" s="448"/>
      <c r="B86" s="448"/>
      <c r="C86" s="448"/>
      <c r="D86" s="448"/>
      <c r="E86" s="448"/>
      <c r="F86" s="448"/>
      <c r="G86" s="448"/>
      <c r="H86" s="448"/>
      <c r="I86" s="448"/>
      <c r="J86" s="448"/>
      <c r="K86" s="448"/>
      <c r="L86" s="448"/>
      <c r="M86" s="448"/>
      <c r="N86" s="448"/>
      <c r="O86" s="448"/>
      <c r="P86" s="448"/>
      <c r="Q86" s="448"/>
      <c r="R86" s="448"/>
      <c r="S86" s="448"/>
    </row>
    <row r="87" spans="1:19" ht="17.5" customHeight="1" x14ac:dyDescent="0.35">
      <c r="A87" s="629"/>
      <c r="B87" s="448"/>
      <c r="C87" s="448"/>
      <c r="D87" s="448"/>
      <c r="E87" s="448"/>
      <c r="F87" s="448"/>
      <c r="G87" s="448"/>
      <c r="H87" s="448"/>
      <c r="I87" s="448"/>
      <c r="J87" s="448"/>
      <c r="K87" s="448"/>
      <c r="L87" s="448"/>
      <c r="M87" s="448"/>
      <c r="N87" s="448"/>
      <c r="O87" s="448"/>
      <c r="P87" s="448"/>
      <c r="Q87" s="448"/>
      <c r="R87" s="448"/>
      <c r="S87" s="448"/>
    </row>
    <row r="88" spans="1:19" x14ac:dyDescent="0.35">
      <c r="A88" s="630"/>
      <c r="B88" s="448"/>
      <c r="C88" s="448"/>
      <c r="D88" s="448"/>
      <c r="E88" s="448"/>
      <c r="F88" s="448"/>
      <c r="G88" s="448"/>
      <c r="H88" s="448"/>
      <c r="I88" s="448"/>
      <c r="J88" s="448"/>
      <c r="K88" s="448"/>
      <c r="L88" s="448"/>
      <c r="M88" s="448"/>
      <c r="N88" s="448"/>
      <c r="O88" s="448"/>
      <c r="P88" s="448"/>
      <c r="Q88" s="448"/>
      <c r="R88" s="448"/>
      <c r="S88" s="448"/>
    </row>
    <row r="89" spans="1:19" x14ac:dyDescent="0.35">
      <c r="A89" s="630"/>
      <c r="B89" s="448"/>
      <c r="C89" s="448"/>
      <c r="D89" s="448"/>
      <c r="E89" s="448"/>
      <c r="F89" s="448"/>
      <c r="G89" s="448"/>
      <c r="H89" s="448"/>
      <c r="I89" s="448"/>
      <c r="J89" s="448"/>
      <c r="K89" s="448"/>
      <c r="L89" s="448"/>
      <c r="M89" s="448"/>
      <c r="N89" s="448"/>
      <c r="O89" s="448"/>
      <c r="P89" s="448"/>
      <c r="Q89" s="448"/>
      <c r="R89" s="448"/>
      <c r="S89" s="448"/>
    </row>
    <row r="90" spans="1:19" x14ac:dyDescent="0.35">
      <c r="A90" s="630"/>
      <c r="B90" s="448"/>
      <c r="C90" s="448"/>
      <c r="D90" s="448"/>
      <c r="E90" s="448"/>
      <c r="F90" s="448"/>
      <c r="G90" s="448"/>
      <c r="H90" s="448"/>
      <c r="I90" s="448"/>
      <c r="J90" s="448"/>
      <c r="K90" s="448"/>
      <c r="L90" s="448"/>
      <c r="M90" s="448"/>
      <c r="N90" s="448"/>
      <c r="O90" s="448"/>
      <c r="P90" s="448"/>
      <c r="Q90" s="448"/>
      <c r="R90" s="448"/>
      <c r="S90" s="448"/>
    </row>
    <row r="91" spans="1:19" x14ac:dyDescent="0.35">
      <c r="A91" s="630"/>
      <c r="B91" s="448"/>
      <c r="C91" s="448"/>
      <c r="D91" s="448"/>
      <c r="E91" s="448"/>
      <c r="F91" s="448"/>
      <c r="G91" s="448"/>
      <c r="H91" s="448"/>
      <c r="I91" s="448"/>
      <c r="J91" s="448"/>
      <c r="K91" s="448"/>
      <c r="L91" s="448"/>
      <c r="M91" s="448"/>
      <c r="N91" s="448"/>
      <c r="O91" s="448"/>
      <c r="P91" s="448"/>
      <c r="Q91" s="448"/>
      <c r="R91" s="448"/>
      <c r="S91" s="448"/>
    </row>
    <row r="92" spans="1:19" x14ac:dyDescent="0.35">
      <c r="A92" s="630"/>
      <c r="B92" s="448"/>
      <c r="C92" s="448"/>
      <c r="D92" s="448"/>
      <c r="E92" s="448"/>
      <c r="F92" s="448"/>
      <c r="G92" s="448"/>
      <c r="H92" s="448"/>
      <c r="I92" s="448"/>
      <c r="J92" s="448"/>
      <c r="K92" s="448"/>
      <c r="L92" s="448"/>
      <c r="M92" s="448"/>
      <c r="N92" s="448"/>
      <c r="O92" s="448"/>
      <c r="P92" s="448"/>
      <c r="Q92" s="448"/>
      <c r="R92" s="448"/>
      <c r="S92" s="448"/>
    </row>
    <row r="93" spans="1:19" x14ac:dyDescent="0.35">
      <c r="A93" s="630"/>
      <c r="B93" s="448"/>
      <c r="C93" s="448"/>
      <c r="D93" s="448"/>
      <c r="E93" s="448"/>
      <c r="F93" s="448"/>
      <c r="G93" s="448"/>
      <c r="H93" s="448"/>
      <c r="I93" s="448"/>
      <c r="J93" s="448"/>
      <c r="K93" s="448"/>
      <c r="L93" s="448"/>
      <c r="M93" s="448"/>
      <c r="N93" s="448"/>
      <c r="O93" s="448"/>
      <c r="P93" s="448"/>
      <c r="Q93" s="448"/>
      <c r="R93" s="448"/>
      <c r="S93" s="448"/>
    </row>
    <row r="94" spans="1:19" x14ac:dyDescent="0.35">
      <c r="A94" s="448"/>
      <c r="B94" s="448"/>
      <c r="C94" s="448"/>
      <c r="D94" s="448"/>
      <c r="E94" s="448"/>
      <c r="F94" s="448"/>
      <c r="G94" s="448"/>
      <c r="H94" s="448"/>
      <c r="I94" s="448"/>
      <c r="J94" s="448"/>
      <c r="K94" s="448"/>
      <c r="L94" s="448"/>
      <c r="M94" s="448"/>
      <c r="N94" s="448"/>
      <c r="O94" s="448"/>
      <c r="P94" s="448"/>
      <c r="Q94" s="448"/>
      <c r="R94" s="448"/>
      <c r="S94" s="448"/>
    </row>
    <row r="95" spans="1:19" x14ac:dyDescent="0.35">
      <c r="A95" s="448"/>
      <c r="B95" s="448"/>
      <c r="C95" s="448"/>
      <c r="D95" s="448"/>
      <c r="E95" s="448"/>
      <c r="F95" s="448"/>
      <c r="G95" s="448"/>
      <c r="H95" s="448"/>
      <c r="I95" s="448"/>
      <c r="J95" s="448"/>
      <c r="K95" s="448"/>
      <c r="L95" s="448"/>
      <c r="M95" s="448"/>
      <c r="N95" s="448"/>
      <c r="O95" s="448"/>
      <c r="P95" s="448"/>
      <c r="Q95" s="448"/>
      <c r="R95" s="448"/>
      <c r="S95" s="448"/>
    </row>
  </sheetData>
  <mergeCells count="22">
    <mergeCell ref="Q56:S56"/>
    <mergeCell ref="Q50:S50"/>
    <mergeCell ref="Q51:S51"/>
    <mergeCell ref="Q52:S52"/>
    <mergeCell ref="Q53:S53"/>
    <mergeCell ref="Q54:S54"/>
    <mergeCell ref="Q55:S55"/>
    <mergeCell ref="Q49:S49"/>
    <mergeCell ref="Q12:S12"/>
    <mergeCell ref="Q36:S36"/>
    <mergeCell ref="Q37:S37"/>
    <mergeCell ref="Q38:S38"/>
    <mergeCell ref="Q39:S39"/>
    <mergeCell ref="Q40:S40"/>
    <mergeCell ref="Q41:S41"/>
    <mergeCell ref="Q42:S42"/>
    <mergeCell ref="Q43:S43"/>
    <mergeCell ref="Q44:S44"/>
    <mergeCell ref="Q45:S45"/>
    <mergeCell ref="Q46:S46"/>
    <mergeCell ref="Q47:S47"/>
    <mergeCell ref="Q48:S48"/>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BD85"/>
  <sheetViews>
    <sheetView zoomScale="115" zoomScaleNormal="115" workbookViewId="0">
      <selection activeCell="D22" sqref="D22"/>
    </sheetView>
  </sheetViews>
  <sheetFormatPr defaultRowHeight="14.5" x14ac:dyDescent="0.35"/>
  <cols>
    <col min="1" max="1" width="15.453125" customWidth="1"/>
    <col min="2" max="2" width="10.7265625" customWidth="1"/>
  </cols>
  <sheetData>
    <row r="2" spans="1:24" x14ac:dyDescent="0.35">
      <c r="A2" s="228" t="s">
        <v>365</v>
      </c>
      <c r="B2" s="228">
        <v>0.4</v>
      </c>
      <c r="C2" s="228" t="s">
        <v>366</v>
      </c>
    </row>
    <row r="3" spans="1:24" x14ac:dyDescent="0.35">
      <c r="A3" s="228" t="s">
        <v>367</v>
      </c>
      <c r="B3" s="228">
        <v>0.9</v>
      </c>
      <c r="C3" s="228" t="s">
        <v>366</v>
      </c>
    </row>
    <row r="4" spans="1:24" x14ac:dyDescent="0.35">
      <c r="A4" s="228" t="s">
        <v>368</v>
      </c>
      <c r="B4" s="228">
        <v>0.4</v>
      </c>
      <c r="C4" s="228" t="s">
        <v>366</v>
      </c>
    </row>
    <row r="5" spans="1:24" x14ac:dyDescent="0.35">
      <c r="A5" s="228" t="s">
        <v>369</v>
      </c>
      <c r="B5" s="228">
        <v>0.5</v>
      </c>
      <c r="C5" s="228" t="s">
        <v>366</v>
      </c>
    </row>
    <row r="6" spans="1:24" x14ac:dyDescent="0.35">
      <c r="A6" s="228" t="s">
        <v>370</v>
      </c>
      <c r="B6" s="228">
        <v>1</v>
      </c>
      <c r="C6" s="228" t="s">
        <v>366</v>
      </c>
    </row>
    <row r="8" spans="1:24" x14ac:dyDescent="0.35">
      <c r="A8" s="238" t="s">
        <v>371</v>
      </c>
    </row>
    <row r="9" spans="1:24" x14ac:dyDescent="0.35">
      <c r="A9" s="226"/>
    </row>
    <row r="10" spans="1:24" x14ac:dyDescent="0.35">
      <c r="A10" s="226" t="s">
        <v>372</v>
      </c>
    </row>
    <row r="11" spans="1:24" x14ac:dyDescent="0.35">
      <c r="A11" s="226" t="s">
        <v>373</v>
      </c>
    </row>
    <row r="12" spans="1:24" x14ac:dyDescent="0.35">
      <c r="A12" s="226" t="s">
        <v>374</v>
      </c>
    </row>
    <row r="13" spans="1:24" x14ac:dyDescent="0.35">
      <c r="A13" s="226" t="s">
        <v>375</v>
      </c>
    </row>
    <row r="14" spans="1:24" x14ac:dyDescent="0.35">
      <c r="A14" s="226" t="s">
        <v>376</v>
      </c>
    </row>
    <row r="16" spans="1:24" x14ac:dyDescent="0.35">
      <c r="G16" s="270"/>
      <c r="H16" s="270"/>
      <c r="I16" s="270"/>
      <c r="J16" s="270"/>
      <c r="K16" s="270"/>
      <c r="L16" s="270"/>
      <c r="M16" s="270"/>
      <c r="N16" s="270"/>
      <c r="O16" s="270"/>
      <c r="P16" s="270"/>
      <c r="Q16" s="270"/>
      <c r="R16" s="270"/>
      <c r="S16" s="270"/>
      <c r="T16" s="270"/>
      <c r="U16" s="270"/>
      <c r="V16" s="270"/>
      <c r="W16" s="270"/>
      <c r="X16" s="270"/>
    </row>
    <row r="17" spans="1:56" x14ac:dyDescent="0.35">
      <c r="A17" t="s">
        <v>377</v>
      </c>
      <c r="G17" s="270"/>
      <c r="H17" s="270"/>
      <c r="I17" s="270"/>
      <c r="J17" s="270"/>
      <c r="K17" s="270"/>
      <c r="L17" s="270"/>
      <c r="M17" s="270"/>
      <c r="N17" s="270"/>
      <c r="O17" s="270"/>
      <c r="P17" s="270"/>
      <c r="Q17" s="270"/>
      <c r="R17" s="270"/>
      <c r="S17" s="270"/>
      <c r="T17" s="270"/>
      <c r="U17" s="270"/>
      <c r="V17" s="270"/>
      <c r="W17" s="270"/>
      <c r="X17" s="270"/>
    </row>
    <row r="18" spans="1:56" x14ac:dyDescent="0.35">
      <c r="A18" t="s">
        <v>378</v>
      </c>
      <c r="G18" s="270"/>
      <c r="H18" s="270"/>
      <c r="I18" s="270"/>
      <c r="J18" s="270"/>
      <c r="K18" s="270"/>
      <c r="L18" s="270"/>
      <c r="M18" s="270"/>
      <c r="N18" s="270"/>
      <c r="O18" s="270"/>
      <c r="P18" s="270"/>
      <c r="Q18" s="270"/>
      <c r="R18" s="270"/>
      <c r="S18" s="270"/>
      <c r="T18" s="270"/>
      <c r="U18" s="270"/>
      <c r="V18" s="270"/>
      <c r="W18" s="270"/>
      <c r="X18" s="270"/>
    </row>
    <row r="19" spans="1:56" x14ac:dyDescent="0.35">
      <c r="A19" t="s">
        <v>379</v>
      </c>
      <c r="G19" s="270"/>
      <c r="H19" s="270"/>
      <c r="I19" s="270"/>
      <c r="J19" s="270"/>
      <c r="K19" s="270"/>
      <c r="L19" s="270"/>
      <c r="M19" s="270"/>
      <c r="N19" s="270"/>
      <c r="O19" s="270"/>
      <c r="P19" s="270"/>
      <c r="Q19" s="270"/>
      <c r="R19" s="270"/>
      <c r="S19" s="270"/>
      <c r="T19" s="270"/>
      <c r="U19" s="270"/>
      <c r="V19" s="270"/>
      <c r="W19" s="270"/>
      <c r="X19" s="270"/>
    </row>
    <row r="20" spans="1:56" x14ac:dyDescent="0.35">
      <c r="A20" t="s">
        <v>380</v>
      </c>
    </row>
    <row r="22" spans="1:56" x14ac:dyDescent="0.35">
      <c r="G22" s="270"/>
      <c r="H22" s="270"/>
      <c r="I22" s="270"/>
      <c r="J22" s="270"/>
      <c r="K22" s="270"/>
      <c r="L22" s="270"/>
      <c r="M22" s="270"/>
      <c r="N22" s="270"/>
      <c r="O22" s="270"/>
      <c r="P22" s="270"/>
      <c r="Q22" s="270"/>
      <c r="R22" s="270"/>
      <c r="S22" s="270"/>
      <c r="T22" s="270"/>
      <c r="U22" s="270"/>
      <c r="V22" s="270"/>
      <c r="W22" s="270"/>
      <c r="X22" s="270"/>
    </row>
    <row r="23" spans="1:56" x14ac:dyDescent="0.35">
      <c r="G23" s="270"/>
      <c r="H23" s="270"/>
      <c r="I23" s="270"/>
      <c r="J23" s="270"/>
      <c r="K23" s="270"/>
      <c r="L23" s="270"/>
      <c r="M23" s="270"/>
      <c r="N23" s="270"/>
      <c r="O23" s="270"/>
      <c r="P23" s="270"/>
      <c r="Q23" s="270"/>
      <c r="R23" s="270"/>
      <c r="S23" s="270"/>
      <c r="T23" s="270"/>
      <c r="U23" s="270"/>
      <c r="V23" s="270"/>
      <c r="W23" s="270"/>
      <c r="X23" s="270"/>
      <c r="BD23" s="112" t="s">
        <v>381</v>
      </c>
    </row>
    <row r="24" spans="1:56" x14ac:dyDescent="0.35">
      <c r="G24" s="272"/>
      <c r="H24" s="270"/>
      <c r="I24" s="270"/>
      <c r="J24" s="270"/>
      <c r="K24" s="270"/>
      <c r="L24" s="271"/>
      <c r="M24" s="271"/>
      <c r="N24" s="275"/>
      <c r="O24" s="270"/>
      <c r="P24" s="270"/>
      <c r="Q24" s="270"/>
      <c r="R24" s="270"/>
      <c r="S24" s="271"/>
      <c r="T24" s="271"/>
      <c r="U24" s="271"/>
      <c r="V24" s="271"/>
      <c r="W24" s="271"/>
      <c r="X24" s="271"/>
      <c r="BD24" s="36" t="s">
        <v>382</v>
      </c>
    </row>
    <row r="25" spans="1:56" x14ac:dyDescent="0.35">
      <c r="G25" s="272"/>
      <c r="H25" s="273"/>
      <c r="I25" s="274"/>
      <c r="J25" s="274"/>
      <c r="K25" s="274"/>
      <c r="L25" s="274"/>
      <c r="M25" s="271"/>
      <c r="N25" s="271"/>
      <c r="O25" s="271"/>
      <c r="P25" s="271"/>
      <c r="Q25" s="271"/>
      <c r="R25" s="270"/>
      <c r="S25" s="270"/>
      <c r="T25" s="270"/>
      <c r="U25" s="270"/>
      <c r="V25" s="270"/>
      <c r="W25" s="270"/>
      <c r="X25" s="270"/>
      <c r="BD25" s="36" t="s">
        <v>383</v>
      </c>
    </row>
    <row r="26" spans="1:56" x14ac:dyDescent="0.35">
      <c r="G26" s="270"/>
      <c r="H26" s="270"/>
      <c r="I26" s="270"/>
      <c r="J26" s="270"/>
      <c r="K26" s="270"/>
      <c r="L26" s="270"/>
      <c r="M26" s="270"/>
      <c r="N26" s="270"/>
      <c r="O26" s="270"/>
      <c r="P26" s="270"/>
      <c r="Q26" s="270"/>
      <c r="R26" s="270"/>
      <c r="S26" s="270"/>
      <c r="T26" s="270"/>
      <c r="U26" s="270"/>
      <c r="V26" s="270"/>
      <c r="W26" s="270"/>
      <c r="X26" s="270"/>
      <c r="BD26" s="36" t="s">
        <v>384</v>
      </c>
    </row>
    <row r="27" spans="1:56" x14ac:dyDescent="0.35">
      <c r="G27" s="270"/>
      <c r="H27" s="270"/>
      <c r="I27" s="270"/>
      <c r="J27" s="270"/>
      <c r="K27" s="270"/>
      <c r="L27" s="270"/>
      <c r="M27" s="270"/>
      <c r="N27" s="270"/>
      <c r="O27" s="270"/>
      <c r="P27" s="270"/>
      <c r="Q27" s="270"/>
      <c r="R27" s="270"/>
      <c r="S27" s="270"/>
      <c r="T27" s="270"/>
      <c r="U27" s="270"/>
      <c r="V27" s="270"/>
      <c r="W27" s="270"/>
      <c r="X27" s="270"/>
      <c r="BD27" s="36" t="s">
        <v>385</v>
      </c>
    </row>
    <row r="28" spans="1:56" x14ac:dyDescent="0.35">
      <c r="G28" s="270"/>
      <c r="H28" s="270"/>
      <c r="I28" s="270"/>
      <c r="J28" s="270"/>
      <c r="K28" s="270"/>
      <c r="L28" s="270"/>
      <c r="M28" s="270"/>
      <c r="N28" s="270"/>
      <c r="O28" s="270"/>
      <c r="P28" s="270"/>
      <c r="Q28" s="270"/>
      <c r="R28" s="270"/>
      <c r="S28" s="270"/>
      <c r="T28" s="270"/>
      <c r="U28" s="270"/>
      <c r="V28" s="270"/>
      <c r="W28" s="270"/>
      <c r="X28" s="270"/>
      <c r="BD28" s="36" t="s">
        <v>386</v>
      </c>
    </row>
    <row r="29" spans="1:56" x14ac:dyDescent="0.35">
      <c r="G29" s="270"/>
      <c r="H29" s="270"/>
      <c r="I29" s="270"/>
      <c r="J29" s="270"/>
      <c r="K29" s="270"/>
      <c r="L29" s="270"/>
      <c r="M29" s="270"/>
      <c r="N29" s="270"/>
      <c r="O29" s="270"/>
      <c r="P29" s="270"/>
      <c r="Q29" s="270"/>
      <c r="R29" s="270"/>
      <c r="S29" s="270"/>
      <c r="T29" s="270"/>
      <c r="U29" s="270"/>
      <c r="V29" s="270"/>
      <c r="W29" s="270"/>
      <c r="X29" s="270"/>
      <c r="BD29" s="36" t="s">
        <v>387</v>
      </c>
    </row>
    <row r="30" spans="1:56" x14ac:dyDescent="0.35">
      <c r="G30" s="270"/>
      <c r="H30" s="270"/>
      <c r="I30" s="270"/>
      <c r="J30" s="270"/>
      <c r="K30" s="270"/>
      <c r="L30" s="270"/>
      <c r="M30" s="270"/>
      <c r="N30" s="270"/>
      <c r="O30" s="270"/>
      <c r="P30" s="270"/>
      <c r="Q30" s="270"/>
      <c r="R30" s="270"/>
      <c r="S30" s="270"/>
      <c r="T30" s="270"/>
      <c r="U30" s="270"/>
      <c r="V30" s="270"/>
      <c r="W30" s="270"/>
      <c r="X30" s="270"/>
      <c r="BD30" s="36" t="s">
        <v>388</v>
      </c>
    </row>
    <row r="31" spans="1:56" x14ac:dyDescent="0.35">
      <c r="BD31" s="36" t="s">
        <v>389</v>
      </c>
    </row>
    <row r="43" spans="1:1" ht="23.5" customHeight="1" x14ac:dyDescent="0.35">
      <c r="A43" s="224"/>
    </row>
    <row r="46" spans="1:1" x14ac:dyDescent="0.35">
      <c r="A46" s="226"/>
    </row>
    <row r="47" spans="1:1" x14ac:dyDescent="0.35">
      <c r="A47" s="226"/>
    </row>
    <row r="48" spans="1:1" x14ac:dyDescent="0.35">
      <c r="A48" s="226"/>
    </row>
    <row r="49" spans="1:1" x14ac:dyDescent="0.35">
      <c r="A49" s="226"/>
    </row>
    <row r="50" spans="1:1" x14ac:dyDescent="0.35">
      <c r="A50" s="226"/>
    </row>
    <row r="51" spans="1:1" x14ac:dyDescent="0.35">
      <c r="A51" s="226"/>
    </row>
    <row r="52" spans="1:1" x14ac:dyDescent="0.35">
      <c r="A52" s="226"/>
    </row>
    <row r="53" spans="1:1" x14ac:dyDescent="0.35">
      <c r="A53" s="226"/>
    </row>
    <row r="57" spans="1:1" ht="23.5" customHeight="1" x14ac:dyDescent="0.35">
      <c r="A57" s="224"/>
    </row>
    <row r="58" spans="1:1" x14ac:dyDescent="0.35">
      <c r="A58" s="226"/>
    </row>
    <row r="59" spans="1:1" x14ac:dyDescent="0.35">
      <c r="A59" s="226"/>
    </row>
    <row r="60" spans="1:1" x14ac:dyDescent="0.35">
      <c r="A60" s="226"/>
    </row>
    <row r="61" spans="1:1" x14ac:dyDescent="0.35">
      <c r="A61" s="226"/>
    </row>
    <row r="65" spans="1:1" ht="23.5" customHeight="1" x14ac:dyDescent="0.35">
      <c r="A65" s="224"/>
    </row>
    <row r="66" spans="1:1" x14ac:dyDescent="0.35">
      <c r="A66" s="226"/>
    </row>
    <row r="67" spans="1:1" x14ac:dyDescent="0.35">
      <c r="A67" s="226"/>
    </row>
    <row r="71" spans="1:1" ht="23.5" customHeight="1" x14ac:dyDescent="0.35">
      <c r="A71" s="224"/>
    </row>
    <row r="72" spans="1:1" x14ac:dyDescent="0.35">
      <c r="A72" s="226"/>
    </row>
    <row r="73" spans="1:1" x14ac:dyDescent="0.35">
      <c r="A73" s="226"/>
    </row>
    <row r="74" spans="1:1" x14ac:dyDescent="0.35">
      <c r="A74" s="226"/>
    </row>
    <row r="75" spans="1:1" x14ac:dyDescent="0.35">
      <c r="A75" s="226"/>
    </row>
    <row r="76" spans="1:1" x14ac:dyDescent="0.35">
      <c r="A76" s="226"/>
    </row>
    <row r="77" spans="1:1" x14ac:dyDescent="0.35">
      <c r="A77" s="226"/>
    </row>
    <row r="81" spans="1:1" ht="23.5" customHeight="1" x14ac:dyDescent="0.35">
      <c r="A81" s="224"/>
    </row>
    <row r="82" spans="1:1" x14ac:dyDescent="0.35">
      <c r="A82" s="226"/>
    </row>
    <row r="83" spans="1:1" x14ac:dyDescent="0.35">
      <c r="A83" s="226"/>
    </row>
    <row r="84" spans="1:1" x14ac:dyDescent="0.35">
      <c r="A84" s="226"/>
    </row>
    <row r="85" spans="1:1" x14ac:dyDescent="0.35">
      <c r="A85" s="226"/>
    </row>
  </sheetData>
  <dataValidations count="1">
    <dataValidation type="list" allowBlank="1" showInputMessage="1" showErrorMessage="1" sqref="H25:L25" xr:uid="{00000000-0002-0000-0300-000000000000}">
      <formula1>"COLUMNS, BEAMS, GIRDERS, BRACED FRAMES / BRACES, TRUSSES, MOMENT FRAMES, DIAPHRAGMS, JOISTS, NONE"</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9:BT933"/>
  <sheetViews>
    <sheetView view="pageBreakPreview" topLeftCell="A468" zoomScale="70" zoomScaleNormal="100" zoomScaleSheetLayoutView="70" zoomScalePageLayoutView="70" workbookViewId="0">
      <selection activeCell="T487" sqref="T487:V487"/>
    </sheetView>
  </sheetViews>
  <sheetFormatPr defaultColWidth="2.7265625" defaultRowHeight="13" x14ac:dyDescent="0.3"/>
  <cols>
    <col min="1" max="1" width="2.7265625" style="2" customWidth="1"/>
    <col min="2" max="2" width="3" style="2" customWidth="1"/>
    <col min="3" max="3" width="11.54296875" style="2" customWidth="1"/>
    <col min="4" max="4" width="9.81640625" style="2" customWidth="1"/>
    <col min="5" max="5" width="13.54296875" style="2" customWidth="1"/>
    <col min="6" max="6" width="14.36328125" style="2" customWidth="1"/>
    <col min="7" max="7" width="12.1796875" style="2" customWidth="1"/>
    <col min="8" max="8" width="13.453125" style="2" customWidth="1"/>
    <col min="9" max="9" width="10.26953125" style="2" customWidth="1"/>
    <col min="10" max="10" width="12.7265625" style="2" customWidth="1"/>
    <col min="11" max="11" width="11" style="2" customWidth="1"/>
    <col min="12" max="12" width="10.36328125" style="2" customWidth="1"/>
    <col min="13" max="13" width="11.7265625" style="2" customWidth="1"/>
    <col min="14" max="14" width="12.453125" style="30" customWidth="1"/>
    <col min="15" max="15" width="12.90625" style="2" customWidth="1"/>
    <col min="16" max="16" width="12.81640625" style="2" customWidth="1"/>
    <col min="17" max="17" width="11.36328125" style="2" customWidth="1"/>
    <col min="18" max="19" width="13.36328125" style="2" customWidth="1"/>
    <col min="20" max="20" width="15.6328125" style="2" customWidth="1"/>
    <col min="21" max="21" width="15.54296875" style="2" customWidth="1"/>
    <col min="22" max="22" width="16.7265625" style="2" customWidth="1"/>
    <col min="23" max="23" width="17.6328125" style="2" customWidth="1"/>
    <col min="24" max="24" width="6.26953125" style="2" customWidth="1"/>
    <col min="25" max="25" width="9" style="2" customWidth="1"/>
    <col min="26" max="26" width="8.26953125" style="2" customWidth="1"/>
    <col min="27" max="27" width="17.453125" style="2" customWidth="1"/>
    <col min="28" max="28" width="2.7265625" style="2" customWidth="1"/>
    <col min="29" max="29" width="12.1796875" style="2" customWidth="1"/>
    <col min="30" max="30" width="19.36328125" style="2" customWidth="1"/>
    <col min="31" max="31" width="7.6328125" style="2" customWidth="1"/>
    <col min="32" max="32" width="12.6328125" style="2" customWidth="1"/>
    <col min="33" max="33" width="13.26953125" style="2" customWidth="1"/>
    <col min="34" max="34" width="15.7265625" style="2" customWidth="1"/>
    <col min="35" max="35" width="14.81640625" style="2" customWidth="1"/>
    <col min="36" max="36" width="10.54296875" style="3" customWidth="1"/>
    <col min="37" max="37" width="11" style="3" customWidth="1"/>
    <col min="38" max="41" width="12.81640625" style="3" customWidth="1"/>
    <col min="42" max="42" width="20.54296875" style="3" customWidth="1"/>
    <col min="43" max="43" width="20" style="2" customWidth="1"/>
    <col min="44" max="44" width="18.26953125" style="2" customWidth="1"/>
    <col min="45" max="45" width="22.6328125" style="2" customWidth="1"/>
    <col min="46" max="46" width="21" style="2" customWidth="1"/>
    <col min="47" max="187" width="12.81640625" style="2" customWidth="1"/>
    <col min="188" max="257" width="2.7265625" style="2" customWidth="1"/>
    <col min="258" max="258" width="3" style="2" customWidth="1"/>
    <col min="259" max="290" width="2.7265625" style="2" customWidth="1"/>
    <col min="291" max="291" width="14.81640625" style="2" customWidth="1"/>
    <col min="292" max="292" width="7.81640625" style="2" customWidth="1"/>
    <col min="293" max="293" width="8.81640625" style="2" customWidth="1"/>
    <col min="294" max="443" width="12.81640625" style="2" customWidth="1"/>
    <col min="444" max="513" width="2.7265625" style="2" customWidth="1"/>
    <col min="514" max="514" width="3" style="2" customWidth="1"/>
    <col min="515" max="546" width="2.7265625" style="2" customWidth="1"/>
    <col min="547" max="547" width="14.81640625" style="2" customWidth="1"/>
    <col min="548" max="548" width="7.81640625" style="2" customWidth="1"/>
    <col min="549" max="549" width="8.81640625" style="2" customWidth="1"/>
    <col min="550" max="699" width="12.81640625" style="2" customWidth="1"/>
    <col min="700" max="769" width="2.7265625" style="2" customWidth="1"/>
    <col min="770" max="770" width="3" style="2" customWidth="1"/>
    <col min="771" max="802" width="2.7265625" style="2" customWidth="1"/>
    <col min="803" max="803" width="14.81640625" style="2" customWidth="1"/>
    <col min="804" max="804" width="7.81640625" style="2" customWidth="1"/>
    <col min="805" max="805" width="8.81640625" style="2" customWidth="1"/>
    <col min="806" max="955" width="12.81640625" style="2" customWidth="1"/>
    <col min="956" max="1025" width="2.7265625" style="2" customWidth="1"/>
    <col min="1026" max="1026" width="3" style="2" customWidth="1"/>
    <col min="1027" max="1058" width="2.7265625" style="2" customWidth="1"/>
    <col min="1059" max="1059" width="14.81640625" style="2" customWidth="1"/>
    <col min="1060" max="1060" width="7.81640625" style="2" customWidth="1"/>
    <col min="1061" max="1061" width="8.81640625" style="2" customWidth="1"/>
    <col min="1062" max="1211" width="12.81640625" style="2" customWidth="1"/>
    <col min="1212" max="1281" width="2.7265625" style="2" customWidth="1"/>
    <col min="1282" max="1282" width="3" style="2" customWidth="1"/>
    <col min="1283" max="1314" width="2.7265625" style="2" customWidth="1"/>
    <col min="1315" max="1315" width="14.81640625" style="2" customWidth="1"/>
    <col min="1316" max="1316" width="7.81640625" style="2" customWidth="1"/>
    <col min="1317" max="1317" width="8.81640625" style="2" customWidth="1"/>
    <col min="1318" max="1467" width="12.81640625" style="2" customWidth="1"/>
    <col min="1468" max="1537" width="2.7265625" style="2" customWidth="1"/>
    <col min="1538" max="1538" width="3" style="2" customWidth="1"/>
    <col min="1539" max="1570" width="2.7265625" style="2" customWidth="1"/>
    <col min="1571" max="1571" width="14.81640625" style="2" customWidth="1"/>
    <col min="1572" max="1572" width="7.81640625" style="2" customWidth="1"/>
    <col min="1573" max="1573" width="8.81640625" style="2" customWidth="1"/>
    <col min="1574" max="1723" width="12.81640625" style="2" customWidth="1"/>
    <col min="1724" max="1793" width="2.7265625" style="2" customWidth="1"/>
    <col min="1794" max="1794" width="3" style="2" customWidth="1"/>
    <col min="1795" max="1826" width="2.7265625" style="2" customWidth="1"/>
    <col min="1827" max="1827" width="14.81640625" style="2" customWidth="1"/>
    <col min="1828" max="1828" width="7.81640625" style="2" customWidth="1"/>
    <col min="1829" max="1829" width="8.81640625" style="2" customWidth="1"/>
    <col min="1830" max="1979" width="12.81640625" style="2" customWidth="1"/>
    <col min="1980" max="2049" width="2.7265625" style="2" customWidth="1"/>
    <col min="2050" max="2050" width="3" style="2" customWidth="1"/>
    <col min="2051" max="2082" width="2.7265625" style="2" customWidth="1"/>
    <col min="2083" max="2083" width="14.81640625" style="2" customWidth="1"/>
    <col min="2084" max="2084" width="7.81640625" style="2" customWidth="1"/>
    <col min="2085" max="2085" width="8.81640625" style="2" customWidth="1"/>
    <col min="2086" max="2235" width="12.81640625" style="2" customWidth="1"/>
    <col min="2236" max="2305" width="2.7265625" style="2" customWidth="1"/>
    <col min="2306" max="2306" width="3" style="2" customWidth="1"/>
    <col min="2307" max="2338" width="2.7265625" style="2" customWidth="1"/>
    <col min="2339" max="2339" width="14.81640625" style="2" customWidth="1"/>
    <col min="2340" max="2340" width="7.81640625" style="2" customWidth="1"/>
    <col min="2341" max="2341" width="8.81640625" style="2" customWidth="1"/>
    <col min="2342" max="2491" width="12.81640625" style="2" customWidth="1"/>
    <col min="2492" max="2561" width="2.7265625" style="2" customWidth="1"/>
    <col min="2562" max="2562" width="3" style="2" customWidth="1"/>
    <col min="2563" max="2594" width="2.7265625" style="2" customWidth="1"/>
    <col min="2595" max="2595" width="14.81640625" style="2" customWidth="1"/>
    <col min="2596" max="2596" width="7.81640625" style="2" customWidth="1"/>
    <col min="2597" max="2597" width="8.81640625" style="2" customWidth="1"/>
    <col min="2598" max="2747" width="12.81640625" style="2" customWidth="1"/>
    <col min="2748" max="2817" width="2.7265625" style="2" customWidth="1"/>
    <col min="2818" max="2818" width="3" style="2" customWidth="1"/>
    <col min="2819" max="2850" width="2.7265625" style="2" customWidth="1"/>
    <col min="2851" max="2851" width="14.81640625" style="2" customWidth="1"/>
    <col min="2852" max="2852" width="7.81640625" style="2" customWidth="1"/>
    <col min="2853" max="2853" width="8.81640625" style="2" customWidth="1"/>
    <col min="2854" max="3003" width="12.81640625" style="2" customWidth="1"/>
    <col min="3004" max="3073" width="2.7265625" style="2" customWidth="1"/>
    <col min="3074" max="3074" width="3" style="2" customWidth="1"/>
    <col min="3075" max="3106" width="2.7265625" style="2" customWidth="1"/>
    <col min="3107" max="3107" width="14.81640625" style="2" customWidth="1"/>
    <col min="3108" max="3108" width="7.81640625" style="2" customWidth="1"/>
    <col min="3109" max="3109" width="8.81640625" style="2" customWidth="1"/>
    <col min="3110" max="3259" width="12.81640625" style="2" customWidth="1"/>
    <col min="3260" max="3329" width="2.7265625" style="2" customWidth="1"/>
    <col min="3330" max="3330" width="3" style="2" customWidth="1"/>
    <col min="3331" max="3362" width="2.7265625" style="2" customWidth="1"/>
    <col min="3363" max="3363" width="14.81640625" style="2" customWidth="1"/>
    <col min="3364" max="3364" width="7.81640625" style="2" customWidth="1"/>
    <col min="3365" max="3365" width="8.81640625" style="2" customWidth="1"/>
    <col min="3366" max="3515" width="12.81640625" style="2" customWidth="1"/>
    <col min="3516" max="3585" width="2.7265625" style="2" customWidth="1"/>
    <col min="3586" max="3586" width="3" style="2" customWidth="1"/>
    <col min="3587" max="3618" width="2.7265625" style="2" customWidth="1"/>
    <col min="3619" max="3619" width="14.81640625" style="2" customWidth="1"/>
    <col min="3620" max="3620" width="7.81640625" style="2" customWidth="1"/>
    <col min="3621" max="3621" width="8.81640625" style="2" customWidth="1"/>
    <col min="3622" max="3771" width="12.81640625" style="2" customWidth="1"/>
    <col min="3772" max="3841" width="2.7265625" style="2" customWidth="1"/>
    <col min="3842" max="3842" width="3" style="2" customWidth="1"/>
    <col min="3843" max="3874" width="2.7265625" style="2" customWidth="1"/>
    <col min="3875" max="3875" width="14.81640625" style="2" customWidth="1"/>
    <col min="3876" max="3876" width="7.81640625" style="2" customWidth="1"/>
    <col min="3877" max="3877" width="8.81640625" style="2" customWidth="1"/>
    <col min="3878" max="4027" width="12.81640625" style="2" customWidth="1"/>
    <col min="4028" max="4097" width="2.7265625" style="2" customWidth="1"/>
    <col min="4098" max="4098" width="3" style="2" customWidth="1"/>
    <col min="4099" max="4130" width="2.7265625" style="2" customWidth="1"/>
    <col min="4131" max="4131" width="14.81640625" style="2" customWidth="1"/>
    <col min="4132" max="4132" width="7.81640625" style="2" customWidth="1"/>
    <col min="4133" max="4133" width="8.81640625" style="2" customWidth="1"/>
    <col min="4134" max="4283" width="12.81640625" style="2" customWidth="1"/>
    <col min="4284" max="4353" width="2.7265625" style="2" customWidth="1"/>
    <col min="4354" max="4354" width="3" style="2" customWidth="1"/>
    <col min="4355" max="4386" width="2.7265625" style="2" customWidth="1"/>
    <col min="4387" max="4387" width="14.81640625" style="2" customWidth="1"/>
    <col min="4388" max="4388" width="7.81640625" style="2" customWidth="1"/>
    <col min="4389" max="4389" width="8.81640625" style="2" customWidth="1"/>
    <col min="4390" max="4539" width="12.81640625" style="2" customWidth="1"/>
    <col min="4540" max="4609" width="2.7265625" style="2" customWidth="1"/>
    <col min="4610" max="4610" width="3" style="2" customWidth="1"/>
    <col min="4611" max="4642" width="2.7265625" style="2" customWidth="1"/>
    <col min="4643" max="4643" width="14.81640625" style="2" customWidth="1"/>
    <col min="4644" max="4644" width="7.81640625" style="2" customWidth="1"/>
    <col min="4645" max="4645" width="8.81640625" style="2" customWidth="1"/>
    <col min="4646" max="4795" width="12.81640625" style="2" customWidth="1"/>
    <col min="4796" max="4865" width="2.7265625" style="2" customWidth="1"/>
    <col min="4866" max="4866" width="3" style="2" customWidth="1"/>
    <col min="4867" max="4898" width="2.7265625" style="2" customWidth="1"/>
    <col min="4899" max="4899" width="14.81640625" style="2" customWidth="1"/>
    <col min="4900" max="4900" width="7.81640625" style="2" customWidth="1"/>
    <col min="4901" max="4901" width="8.81640625" style="2" customWidth="1"/>
    <col min="4902" max="5051" width="12.81640625" style="2" customWidth="1"/>
    <col min="5052" max="5121" width="2.7265625" style="2" customWidth="1"/>
    <col min="5122" max="5122" width="3" style="2" customWidth="1"/>
    <col min="5123" max="5154" width="2.7265625" style="2" customWidth="1"/>
    <col min="5155" max="5155" width="14.81640625" style="2" customWidth="1"/>
    <col min="5156" max="5156" width="7.81640625" style="2" customWidth="1"/>
    <col min="5157" max="5157" width="8.81640625" style="2" customWidth="1"/>
    <col min="5158" max="5307" width="12.81640625" style="2" customWidth="1"/>
    <col min="5308" max="5377" width="2.7265625" style="2" customWidth="1"/>
    <col min="5378" max="5378" width="3" style="2" customWidth="1"/>
    <col min="5379" max="5410" width="2.7265625" style="2" customWidth="1"/>
    <col min="5411" max="5411" width="14.81640625" style="2" customWidth="1"/>
    <col min="5412" max="5412" width="7.81640625" style="2" customWidth="1"/>
    <col min="5413" max="5413" width="8.81640625" style="2" customWidth="1"/>
    <col min="5414" max="5563" width="12.81640625" style="2" customWidth="1"/>
    <col min="5564" max="5633" width="2.7265625" style="2" customWidth="1"/>
    <col min="5634" max="5634" width="3" style="2" customWidth="1"/>
    <col min="5635" max="5666" width="2.7265625" style="2" customWidth="1"/>
    <col min="5667" max="5667" width="14.81640625" style="2" customWidth="1"/>
    <col min="5668" max="5668" width="7.81640625" style="2" customWidth="1"/>
    <col min="5669" max="5669" width="8.81640625" style="2" customWidth="1"/>
    <col min="5670" max="5819" width="12.81640625" style="2" customWidth="1"/>
    <col min="5820" max="5889" width="2.7265625" style="2" customWidth="1"/>
    <col min="5890" max="5890" width="3" style="2" customWidth="1"/>
    <col min="5891" max="5922" width="2.7265625" style="2" customWidth="1"/>
    <col min="5923" max="5923" width="14.81640625" style="2" customWidth="1"/>
    <col min="5924" max="5924" width="7.81640625" style="2" customWidth="1"/>
    <col min="5925" max="5925" width="8.81640625" style="2" customWidth="1"/>
    <col min="5926" max="6075" width="12.81640625" style="2" customWidth="1"/>
    <col min="6076" max="6145" width="2.7265625" style="2" customWidth="1"/>
    <col min="6146" max="6146" width="3" style="2" customWidth="1"/>
    <col min="6147" max="6178" width="2.7265625" style="2" customWidth="1"/>
    <col min="6179" max="6179" width="14.81640625" style="2" customWidth="1"/>
    <col min="6180" max="6180" width="7.81640625" style="2" customWidth="1"/>
    <col min="6181" max="6181" width="8.81640625" style="2" customWidth="1"/>
    <col min="6182" max="6331" width="12.81640625" style="2" customWidth="1"/>
    <col min="6332" max="6401" width="2.7265625" style="2" customWidth="1"/>
    <col min="6402" max="6402" width="3" style="2" customWidth="1"/>
    <col min="6403" max="6434" width="2.7265625" style="2" customWidth="1"/>
    <col min="6435" max="6435" width="14.81640625" style="2" customWidth="1"/>
    <col min="6436" max="6436" width="7.81640625" style="2" customWidth="1"/>
    <col min="6437" max="6437" width="8.81640625" style="2" customWidth="1"/>
    <col min="6438" max="6587" width="12.81640625" style="2" customWidth="1"/>
    <col min="6588" max="6657" width="2.7265625" style="2" customWidth="1"/>
    <col min="6658" max="6658" width="3" style="2" customWidth="1"/>
    <col min="6659" max="6690" width="2.7265625" style="2" customWidth="1"/>
    <col min="6691" max="6691" width="14.81640625" style="2" customWidth="1"/>
    <col min="6692" max="6692" width="7.81640625" style="2" customWidth="1"/>
    <col min="6693" max="6693" width="8.81640625" style="2" customWidth="1"/>
    <col min="6694" max="6843" width="12.81640625" style="2" customWidth="1"/>
    <col min="6844" max="6913" width="2.7265625" style="2" customWidth="1"/>
    <col min="6914" max="6914" width="3" style="2" customWidth="1"/>
    <col min="6915" max="6946" width="2.7265625" style="2" customWidth="1"/>
    <col min="6947" max="6947" width="14.81640625" style="2" customWidth="1"/>
    <col min="6948" max="6948" width="7.81640625" style="2" customWidth="1"/>
    <col min="6949" max="6949" width="8.81640625" style="2" customWidth="1"/>
    <col min="6950" max="7099" width="12.81640625" style="2" customWidth="1"/>
    <col min="7100" max="7169" width="2.7265625" style="2" customWidth="1"/>
    <col min="7170" max="7170" width="3" style="2" customWidth="1"/>
    <col min="7171" max="7202" width="2.7265625" style="2" customWidth="1"/>
    <col min="7203" max="7203" width="14.81640625" style="2" customWidth="1"/>
    <col min="7204" max="7204" width="7.81640625" style="2" customWidth="1"/>
    <col min="7205" max="7205" width="8.81640625" style="2" customWidth="1"/>
    <col min="7206" max="7355" width="12.81640625" style="2" customWidth="1"/>
    <col min="7356" max="7425" width="2.7265625" style="2" customWidth="1"/>
    <col min="7426" max="7426" width="3" style="2" customWidth="1"/>
    <col min="7427" max="7458" width="2.7265625" style="2" customWidth="1"/>
    <col min="7459" max="7459" width="14.81640625" style="2" customWidth="1"/>
    <col min="7460" max="7460" width="7.81640625" style="2" customWidth="1"/>
    <col min="7461" max="7461" width="8.81640625" style="2" customWidth="1"/>
    <col min="7462" max="7611" width="12.81640625" style="2" customWidth="1"/>
    <col min="7612" max="7681" width="2.7265625" style="2" customWidth="1"/>
    <col min="7682" max="7682" width="3" style="2" customWidth="1"/>
    <col min="7683" max="7714" width="2.7265625" style="2" customWidth="1"/>
    <col min="7715" max="7715" width="14.81640625" style="2" customWidth="1"/>
    <col min="7716" max="7716" width="7.81640625" style="2" customWidth="1"/>
    <col min="7717" max="7717" width="8.81640625" style="2" customWidth="1"/>
    <col min="7718" max="7867" width="12.81640625" style="2" customWidth="1"/>
    <col min="7868" max="7937" width="2.7265625" style="2" customWidth="1"/>
    <col min="7938" max="7938" width="3" style="2" customWidth="1"/>
    <col min="7939" max="7970" width="2.7265625" style="2" customWidth="1"/>
    <col min="7971" max="7971" width="14.81640625" style="2" customWidth="1"/>
    <col min="7972" max="7972" width="7.81640625" style="2" customWidth="1"/>
    <col min="7973" max="7973" width="8.81640625" style="2" customWidth="1"/>
    <col min="7974" max="8123" width="12.81640625" style="2" customWidth="1"/>
    <col min="8124" max="8193" width="2.7265625" style="2" customWidth="1"/>
    <col min="8194" max="8194" width="3" style="2" customWidth="1"/>
    <col min="8195" max="8226" width="2.7265625" style="2" customWidth="1"/>
    <col min="8227" max="8227" width="14.81640625" style="2" customWidth="1"/>
    <col min="8228" max="8228" width="7.81640625" style="2" customWidth="1"/>
    <col min="8229" max="8229" width="8.81640625" style="2" customWidth="1"/>
    <col min="8230" max="8379" width="12.81640625" style="2" customWidth="1"/>
    <col min="8380" max="8449" width="2.7265625" style="2" customWidth="1"/>
    <col min="8450" max="8450" width="3" style="2" customWidth="1"/>
    <col min="8451" max="8482" width="2.7265625" style="2" customWidth="1"/>
    <col min="8483" max="8483" width="14.81640625" style="2" customWidth="1"/>
    <col min="8484" max="8484" width="7.81640625" style="2" customWidth="1"/>
    <col min="8485" max="8485" width="8.81640625" style="2" customWidth="1"/>
    <col min="8486" max="8635" width="12.81640625" style="2" customWidth="1"/>
    <col min="8636" max="8705" width="2.7265625" style="2" customWidth="1"/>
    <col min="8706" max="8706" width="3" style="2" customWidth="1"/>
    <col min="8707" max="8738" width="2.7265625" style="2" customWidth="1"/>
    <col min="8739" max="8739" width="14.81640625" style="2" customWidth="1"/>
    <col min="8740" max="8740" width="7.81640625" style="2" customWidth="1"/>
    <col min="8741" max="8741" width="8.81640625" style="2" customWidth="1"/>
    <col min="8742" max="8891" width="12.81640625" style="2" customWidth="1"/>
    <col min="8892" max="8961" width="2.7265625" style="2" customWidth="1"/>
    <col min="8962" max="8962" width="3" style="2" customWidth="1"/>
    <col min="8963" max="8994" width="2.7265625" style="2" customWidth="1"/>
    <col min="8995" max="8995" width="14.81640625" style="2" customWidth="1"/>
    <col min="8996" max="8996" width="7.81640625" style="2" customWidth="1"/>
    <col min="8997" max="8997" width="8.81640625" style="2" customWidth="1"/>
    <col min="8998" max="9147" width="12.81640625" style="2" customWidth="1"/>
    <col min="9148" max="9217" width="2.7265625" style="2" customWidth="1"/>
    <col min="9218" max="9218" width="3" style="2" customWidth="1"/>
    <col min="9219" max="9250" width="2.7265625" style="2" customWidth="1"/>
    <col min="9251" max="9251" width="14.81640625" style="2" customWidth="1"/>
    <col min="9252" max="9252" width="7.81640625" style="2" customWidth="1"/>
    <col min="9253" max="9253" width="8.81640625" style="2" customWidth="1"/>
    <col min="9254" max="9403" width="12.81640625" style="2" customWidth="1"/>
    <col min="9404" max="9473" width="2.7265625" style="2" customWidth="1"/>
    <col min="9474" max="9474" width="3" style="2" customWidth="1"/>
    <col min="9475" max="9506" width="2.7265625" style="2" customWidth="1"/>
    <col min="9507" max="9507" width="14.81640625" style="2" customWidth="1"/>
    <col min="9508" max="9508" width="7.81640625" style="2" customWidth="1"/>
    <col min="9509" max="9509" width="8.81640625" style="2" customWidth="1"/>
    <col min="9510" max="9659" width="12.81640625" style="2" customWidth="1"/>
    <col min="9660" max="9729" width="2.7265625" style="2" customWidth="1"/>
    <col min="9730" max="9730" width="3" style="2" customWidth="1"/>
    <col min="9731" max="9762" width="2.7265625" style="2" customWidth="1"/>
    <col min="9763" max="9763" width="14.81640625" style="2" customWidth="1"/>
    <col min="9764" max="9764" width="7.81640625" style="2" customWidth="1"/>
    <col min="9765" max="9765" width="8.81640625" style="2" customWidth="1"/>
    <col min="9766" max="9915" width="12.81640625" style="2" customWidth="1"/>
    <col min="9916" max="9985" width="2.7265625" style="2" customWidth="1"/>
    <col min="9986" max="9986" width="3" style="2" customWidth="1"/>
    <col min="9987" max="10018" width="2.7265625" style="2" customWidth="1"/>
    <col min="10019" max="10019" width="14.81640625" style="2" customWidth="1"/>
    <col min="10020" max="10020" width="7.81640625" style="2" customWidth="1"/>
    <col min="10021" max="10021" width="8.81640625" style="2" customWidth="1"/>
    <col min="10022" max="10171" width="12.81640625" style="2" customWidth="1"/>
    <col min="10172" max="10241" width="2.7265625" style="2" customWidth="1"/>
    <col min="10242" max="10242" width="3" style="2" customWidth="1"/>
    <col min="10243" max="10274" width="2.7265625" style="2" customWidth="1"/>
    <col min="10275" max="10275" width="14.81640625" style="2" customWidth="1"/>
    <col min="10276" max="10276" width="7.81640625" style="2" customWidth="1"/>
    <col min="10277" max="10277" width="8.81640625" style="2" customWidth="1"/>
    <col min="10278" max="10427" width="12.81640625" style="2" customWidth="1"/>
    <col min="10428" max="10497" width="2.7265625" style="2" customWidth="1"/>
    <col min="10498" max="10498" width="3" style="2" customWidth="1"/>
    <col min="10499" max="10530" width="2.7265625" style="2" customWidth="1"/>
    <col min="10531" max="10531" width="14.81640625" style="2" customWidth="1"/>
    <col min="10532" max="10532" width="7.81640625" style="2" customWidth="1"/>
    <col min="10533" max="10533" width="8.81640625" style="2" customWidth="1"/>
    <col min="10534" max="10683" width="12.81640625" style="2" customWidth="1"/>
    <col min="10684" max="10753" width="2.7265625" style="2" customWidth="1"/>
    <col min="10754" max="10754" width="3" style="2" customWidth="1"/>
    <col min="10755" max="10786" width="2.7265625" style="2" customWidth="1"/>
    <col min="10787" max="10787" width="14.81640625" style="2" customWidth="1"/>
    <col min="10788" max="10788" width="7.81640625" style="2" customWidth="1"/>
    <col min="10789" max="10789" width="8.81640625" style="2" customWidth="1"/>
    <col min="10790" max="10939" width="12.81640625" style="2" customWidth="1"/>
    <col min="10940" max="11009" width="2.7265625" style="2" customWidth="1"/>
    <col min="11010" max="11010" width="3" style="2" customWidth="1"/>
    <col min="11011" max="11042" width="2.7265625" style="2" customWidth="1"/>
    <col min="11043" max="11043" width="14.81640625" style="2" customWidth="1"/>
    <col min="11044" max="11044" width="7.81640625" style="2" customWidth="1"/>
    <col min="11045" max="11045" width="8.81640625" style="2" customWidth="1"/>
    <col min="11046" max="11195" width="12.81640625" style="2" customWidth="1"/>
    <col min="11196" max="11265" width="2.7265625" style="2" customWidth="1"/>
    <col min="11266" max="11266" width="3" style="2" customWidth="1"/>
    <col min="11267" max="11298" width="2.7265625" style="2" customWidth="1"/>
    <col min="11299" max="11299" width="14.81640625" style="2" customWidth="1"/>
    <col min="11300" max="11300" width="7.81640625" style="2" customWidth="1"/>
    <col min="11301" max="11301" width="8.81640625" style="2" customWidth="1"/>
    <col min="11302" max="11451" width="12.81640625" style="2" customWidth="1"/>
    <col min="11452" max="11521" width="2.7265625" style="2" customWidth="1"/>
    <col min="11522" max="11522" width="3" style="2" customWidth="1"/>
    <col min="11523" max="11554" width="2.7265625" style="2" customWidth="1"/>
    <col min="11555" max="11555" width="14.81640625" style="2" customWidth="1"/>
    <col min="11556" max="11556" width="7.81640625" style="2" customWidth="1"/>
    <col min="11557" max="11557" width="8.81640625" style="2" customWidth="1"/>
    <col min="11558" max="11707" width="12.81640625" style="2" customWidth="1"/>
    <col min="11708" max="11777" width="2.7265625" style="2" customWidth="1"/>
    <col min="11778" max="11778" width="3" style="2" customWidth="1"/>
    <col min="11779" max="11810" width="2.7265625" style="2" customWidth="1"/>
    <col min="11811" max="11811" width="14.81640625" style="2" customWidth="1"/>
    <col min="11812" max="11812" width="7.81640625" style="2" customWidth="1"/>
    <col min="11813" max="11813" width="8.81640625" style="2" customWidth="1"/>
    <col min="11814" max="11963" width="12.81640625" style="2" customWidth="1"/>
    <col min="11964" max="12033" width="2.7265625" style="2" customWidth="1"/>
    <col min="12034" max="12034" width="3" style="2" customWidth="1"/>
    <col min="12035" max="12066" width="2.7265625" style="2" customWidth="1"/>
    <col min="12067" max="12067" width="14.81640625" style="2" customWidth="1"/>
    <col min="12068" max="12068" width="7.81640625" style="2" customWidth="1"/>
    <col min="12069" max="12069" width="8.81640625" style="2" customWidth="1"/>
    <col min="12070" max="12219" width="12.81640625" style="2" customWidth="1"/>
    <col min="12220" max="12289" width="2.7265625" style="2" customWidth="1"/>
    <col min="12290" max="12290" width="3" style="2" customWidth="1"/>
    <col min="12291" max="12322" width="2.7265625" style="2" customWidth="1"/>
    <col min="12323" max="12323" width="14.81640625" style="2" customWidth="1"/>
    <col min="12324" max="12324" width="7.81640625" style="2" customWidth="1"/>
    <col min="12325" max="12325" width="8.81640625" style="2" customWidth="1"/>
    <col min="12326" max="12475" width="12.81640625" style="2" customWidth="1"/>
    <col min="12476" max="12545" width="2.7265625" style="2" customWidth="1"/>
    <col min="12546" max="12546" width="3" style="2" customWidth="1"/>
    <col min="12547" max="12578" width="2.7265625" style="2" customWidth="1"/>
    <col min="12579" max="12579" width="14.81640625" style="2" customWidth="1"/>
    <col min="12580" max="12580" width="7.81640625" style="2" customWidth="1"/>
    <col min="12581" max="12581" width="8.81640625" style="2" customWidth="1"/>
    <col min="12582" max="12731" width="12.81640625" style="2" customWidth="1"/>
    <col min="12732" max="12801" width="2.7265625" style="2" customWidth="1"/>
    <col min="12802" max="12802" width="3" style="2" customWidth="1"/>
    <col min="12803" max="12834" width="2.7265625" style="2" customWidth="1"/>
    <col min="12835" max="12835" width="14.81640625" style="2" customWidth="1"/>
    <col min="12836" max="12836" width="7.81640625" style="2" customWidth="1"/>
    <col min="12837" max="12837" width="8.81640625" style="2" customWidth="1"/>
    <col min="12838" max="12987" width="12.81640625" style="2" customWidth="1"/>
    <col min="12988" max="13057" width="2.7265625" style="2" customWidth="1"/>
    <col min="13058" max="13058" width="3" style="2" customWidth="1"/>
    <col min="13059" max="13090" width="2.7265625" style="2" customWidth="1"/>
    <col min="13091" max="13091" width="14.81640625" style="2" customWidth="1"/>
    <col min="13092" max="13092" width="7.81640625" style="2" customWidth="1"/>
    <col min="13093" max="13093" width="8.81640625" style="2" customWidth="1"/>
    <col min="13094" max="13243" width="12.81640625" style="2" customWidth="1"/>
    <col min="13244" max="13313" width="2.7265625" style="2" customWidth="1"/>
    <col min="13314" max="13314" width="3" style="2" customWidth="1"/>
    <col min="13315" max="13346" width="2.7265625" style="2" customWidth="1"/>
    <col min="13347" max="13347" width="14.81640625" style="2" customWidth="1"/>
    <col min="13348" max="13348" width="7.81640625" style="2" customWidth="1"/>
    <col min="13349" max="13349" width="8.81640625" style="2" customWidth="1"/>
    <col min="13350" max="13499" width="12.81640625" style="2" customWidth="1"/>
    <col min="13500" max="13569" width="2.7265625" style="2" customWidth="1"/>
    <col min="13570" max="13570" width="3" style="2" customWidth="1"/>
    <col min="13571" max="13602" width="2.7265625" style="2" customWidth="1"/>
    <col min="13603" max="13603" width="14.81640625" style="2" customWidth="1"/>
    <col min="13604" max="13604" width="7.81640625" style="2" customWidth="1"/>
    <col min="13605" max="13605" width="8.81640625" style="2" customWidth="1"/>
    <col min="13606" max="13755" width="12.81640625" style="2" customWidth="1"/>
    <col min="13756" max="13825" width="2.7265625" style="2" customWidth="1"/>
    <col min="13826" max="13826" width="3" style="2" customWidth="1"/>
    <col min="13827" max="13858" width="2.7265625" style="2" customWidth="1"/>
    <col min="13859" max="13859" width="14.81640625" style="2" customWidth="1"/>
    <col min="13860" max="13860" width="7.81640625" style="2" customWidth="1"/>
    <col min="13861" max="13861" width="8.81640625" style="2" customWidth="1"/>
    <col min="13862" max="14011" width="12.81640625" style="2" customWidth="1"/>
    <col min="14012" max="14081" width="2.7265625" style="2" customWidth="1"/>
    <col min="14082" max="14082" width="3" style="2" customWidth="1"/>
    <col min="14083" max="14114" width="2.7265625" style="2" customWidth="1"/>
    <col min="14115" max="14115" width="14.81640625" style="2" customWidth="1"/>
    <col min="14116" max="14116" width="7.81640625" style="2" customWidth="1"/>
    <col min="14117" max="14117" width="8.81640625" style="2" customWidth="1"/>
    <col min="14118" max="14267" width="12.81640625" style="2" customWidth="1"/>
    <col min="14268" max="14337" width="2.7265625" style="2" customWidth="1"/>
    <col min="14338" max="14338" width="3" style="2" customWidth="1"/>
    <col min="14339" max="14370" width="2.7265625" style="2" customWidth="1"/>
    <col min="14371" max="14371" width="14.81640625" style="2" customWidth="1"/>
    <col min="14372" max="14372" width="7.81640625" style="2" customWidth="1"/>
    <col min="14373" max="14373" width="8.81640625" style="2" customWidth="1"/>
    <col min="14374" max="14523" width="12.81640625" style="2" customWidth="1"/>
    <col min="14524" max="14593" width="2.7265625" style="2" customWidth="1"/>
    <col min="14594" max="14594" width="3" style="2" customWidth="1"/>
    <col min="14595" max="14626" width="2.7265625" style="2" customWidth="1"/>
    <col min="14627" max="14627" width="14.81640625" style="2" customWidth="1"/>
    <col min="14628" max="14628" width="7.81640625" style="2" customWidth="1"/>
    <col min="14629" max="14629" width="8.81640625" style="2" customWidth="1"/>
    <col min="14630" max="14779" width="12.81640625" style="2" customWidth="1"/>
    <col min="14780" max="14849" width="2.7265625" style="2" customWidth="1"/>
    <col min="14850" max="14850" width="3" style="2" customWidth="1"/>
    <col min="14851" max="14882" width="2.7265625" style="2" customWidth="1"/>
    <col min="14883" max="14883" width="14.81640625" style="2" customWidth="1"/>
    <col min="14884" max="14884" width="7.81640625" style="2" customWidth="1"/>
    <col min="14885" max="14885" width="8.81640625" style="2" customWidth="1"/>
    <col min="14886" max="15035" width="12.81640625" style="2" customWidth="1"/>
    <col min="15036" max="15105" width="2.7265625" style="2" customWidth="1"/>
    <col min="15106" max="15106" width="3" style="2" customWidth="1"/>
    <col min="15107" max="15138" width="2.7265625" style="2" customWidth="1"/>
    <col min="15139" max="15139" width="14.81640625" style="2" customWidth="1"/>
    <col min="15140" max="15140" width="7.81640625" style="2" customWidth="1"/>
    <col min="15141" max="15141" width="8.81640625" style="2" customWidth="1"/>
    <col min="15142" max="15291" width="12.81640625" style="2" customWidth="1"/>
    <col min="15292" max="15361" width="2.7265625" style="2" customWidth="1"/>
    <col min="15362" max="15362" width="3" style="2" customWidth="1"/>
    <col min="15363" max="15394" width="2.7265625" style="2" customWidth="1"/>
    <col min="15395" max="15395" width="14.81640625" style="2" customWidth="1"/>
    <col min="15396" max="15396" width="7.81640625" style="2" customWidth="1"/>
    <col min="15397" max="15397" width="8.81640625" style="2" customWidth="1"/>
    <col min="15398" max="15547" width="12.81640625" style="2" customWidth="1"/>
    <col min="15548" max="15617" width="2.7265625" style="2" customWidth="1"/>
    <col min="15618" max="15618" width="3" style="2" customWidth="1"/>
    <col min="15619" max="15650" width="2.7265625" style="2" customWidth="1"/>
    <col min="15651" max="15651" width="14.81640625" style="2" customWidth="1"/>
    <col min="15652" max="15652" width="7.81640625" style="2" customWidth="1"/>
    <col min="15653" max="15653" width="8.81640625" style="2" customWidth="1"/>
    <col min="15654" max="15803" width="12.81640625" style="2" customWidth="1"/>
    <col min="15804" max="15873" width="2.7265625" style="2" customWidth="1"/>
    <col min="15874" max="15874" width="3" style="2" customWidth="1"/>
    <col min="15875" max="15906" width="2.7265625" style="2" customWidth="1"/>
    <col min="15907" max="15907" width="14.81640625" style="2" customWidth="1"/>
    <col min="15908" max="15908" width="7.81640625" style="2" customWidth="1"/>
    <col min="15909" max="15909" width="8.81640625" style="2" customWidth="1"/>
    <col min="15910" max="16059" width="12.81640625" style="2" customWidth="1"/>
    <col min="16060" max="16129" width="2.7265625" style="2" customWidth="1"/>
    <col min="16130" max="16130" width="3" style="2" customWidth="1"/>
    <col min="16131" max="16162" width="2.7265625" style="2" customWidth="1"/>
    <col min="16163" max="16163" width="14.81640625" style="2" customWidth="1"/>
    <col min="16164" max="16164" width="7.81640625" style="2" customWidth="1"/>
    <col min="16165" max="16165" width="8.81640625" style="2" customWidth="1"/>
    <col min="16166" max="16315" width="12.81640625" style="2" customWidth="1"/>
    <col min="16316" max="16384" width="2.7265625" style="2" customWidth="1"/>
  </cols>
  <sheetData>
    <row r="9" spans="3:41" ht="18.5" customHeight="1" x14ac:dyDescent="0.45">
      <c r="C9" s="969" t="s">
        <v>390</v>
      </c>
      <c r="D9" s="970"/>
      <c r="E9" s="971"/>
    </row>
    <row r="10" spans="3:41" x14ac:dyDescent="0.3">
      <c r="I10" s="3"/>
    </row>
    <row r="11" spans="3:41" ht="16.5" customHeight="1" x14ac:dyDescent="0.35">
      <c r="D11" s="58"/>
      <c r="E11" s="118" t="s">
        <v>391</v>
      </c>
      <c r="F11" s="222">
        <v>25</v>
      </c>
      <c r="G11" s="123" t="s">
        <v>392</v>
      </c>
      <c r="H11" s="118" t="s">
        <v>393</v>
      </c>
      <c r="I11" s="222">
        <v>35.619999999999997</v>
      </c>
      <c r="J11" s="123" t="s">
        <v>392</v>
      </c>
      <c r="K11" s="289" t="s">
        <v>394</v>
      </c>
      <c r="L11" s="289">
        <v>2.907</v>
      </c>
      <c r="M11" s="965" t="s">
        <v>392</v>
      </c>
      <c r="N11" s="58"/>
      <c r="O11" s="58"/>
    </row>
    <row r="12" spans="3:41" ht="15.65" customHeight="1" x14ac:dyDescent="0.35">
      <c r="D12" s="58"/>
      <c r="E12" s="966"/>
      <c r="F12" s="223"/>
      <c r="G12" s="58"/>
      <c r="H12" s="58"/>
      <c r="I12" s="223"/>
      <c r="J12" s="123"/>
      <c r="K12" s="967"/>
      <c r="L12" s="967"/>
      <c r="M12" s="222"/>
      <c r="N12" s="58"/>
      <c r="O12" s="58"/>
      <c r="U12" s="458"/>
    </row>
    <row r="13" spans="3:41" ht="15.75" customHeight="1" x14ac:dyDescent="0.35">
      <c r="D13" s="58"/>
      <c r="E13" s="118" t="s">
        <v>395</v>
      </c>
      <c r="F13" s="961">
        <v>17.59</v>
      </c>
      <c r="G13" s="962" t="s">
        <v>392</v>
      </c>
      <c r="H13" s="118" t="s">
        <v>396</v>
      </c>
      <c r="I13" s="222">
        <v>36.409999999999997</v>
      </c>
      <c r="J13" s="123" t="s">
        <v>392</v>
      </c>
      <c r="K13" s="289" t="s">
        <v>397</v>
      </c>
      <c r="L13" s="289">
        <v>14.347</v>
      </c>
      <c r="M13" s="965" t="s">
        <v>392</v>
      </c>
      <c r="N13" s="58"/>
      <c r="O13" s="58"/>
    </row>
    <row r="14" spans="3:41" ht="15.65" customHeight="1" x14ac:dyDescent="0.35">
      <c r="D14" s="58"/>
      <c r="E14" s="58"/>
      <c r="F14" s="58"/>
      <c r="G14" s="58"/>
      <c r="H14" s="58"/>
      <c r="I14" s="223"/>
      <c r="J14" s="58"/>
      <c r="K14" s="223"/>
      <c r="L14" s="967"/>
      <c r="M14" s="58"/>
      <c r="N14" s="58"/>
      <c r="O14" s="58"/>
    </row>
    <row r="15" spans="3:41" ht="15.75" customHeight="1" x14ac:dyDescent="0.35">
      <c r="D15" s="58"/>
      <c r="E15" s="118" t="s">
        <v>398</v>
      </c>
      <c r="F15" s="222">
        <v>18.41</v>
      </c>
      <c r="G15" s="123" t="s">
        <v>392</v>
      </c>
      <c r="H15" s="118" t="s">
        <v>399</v>
      </c>
      <c r="I15" s="222">
        <f>(L13+L15)/2</f>
        <v>12.8735</v>
      </c>
      <c r="J15" s="968" t="s">
        <v>392</v>
      </c>
      <c r="K15" s="222" t="s">
        <v>400</v>
      </c>
      <c r="L15" s="289">
        <v>11.4</v>
      </c>
      <c r="M15" s="123" t="s">
        <v>392</v>
      </c>
      <c r="N15" s="118" t="s">
        <v>401</v>
      </c>
      <c r="O15" s="646">
        <v>5</v>
      </c>
      <c r="P15" s="147" t="s">
        <v>392</v>
      </c>
    </row>
    <row r="16" spans="3:41" ht="15.75" customHeight="1" x14ac:dyDescent="0.35">
      <c r="D16" s="58"/>
      <c r="E16" s="58"/>
      <c r="F16" s="58"/>
      <c r="G16" s="118"/>
      <c r="H16" s="343"/>
      <c r="I16" s="58"/>
      <c r="J16" s="967"/>
      <c r="K16" s="58"/>
      <c r="L16" s="58"/>
      <c r="M16" s="223"/>
      <c r="N16" s="58"/>
      <c r="O16" s="58"/>
      <c r="AI16" s="3"/>
      <c r="AL16" s="8"/>
      <c r="AM16" s="195"/>
      <c r="AO16" s="8"/>
    </row>
    <row r="17" spans="3:41" ht="15.75" customHeight="1" x14ac:dyDescent="0.35">
      <c r="D17" s="58"/>
      <c r="E17" s="58"/>
      <c r="F17" s="58"/>
      <c r="G17" s="118"/>
      <c r="H17" s="343"/>
      <c r="I17" s="58"/>
      <c r="J17" s="967"/>
      <c r="K17" s="58"/>
      <c r="L17" s="58"/>
      <c r="M17" s="223"/>
      <c r="N17" s="58"/>
      <c r="O17" s="58"/>
      <c r="AI17" s="3"/>
      <c r="AL17" s="8"/>
      <c r="AM17" s="195"/>
      <c r="AO17" s="8"/>
    </row>
    <row r="18" spans="3:41" ht="15.75" customHeight="1" thickBot="1" x14ac:dyDescent="0.4">
      <c r="D18" s="58"/>
      <c r="E18" s="58"/>
      <c r="F18" s="58"/>
      <c r="G18" s="118"/>
      <c r="H18" s="343"/>
      <c r="I18" s="58"/>
      <c r="J18" s="967"/>
      <c r="K18" s="58"/>
      <c r="L18" s="58"/>
      <c r="M18" s="223"/>
      <c r="N18" s="58"/>
      <c r="O18" s="58"/>
      <c r="AI18" s="3"/>
      <c r="AL18" s="8"/>
      <c r="AM18" s="195"/>
      <c r="AO18" s="8"/>
    </row>
    <row r="19" spans="3:41" ht="30" customHeight="1" thickTop="1" thickBot="1" x14ac:dyDescent="0.4">
      <c r="C19" s="754" t="s">
        <v>402</v>
      </c>
      <c r="D19" s="922"/>
      <c r="E19" s="1089" t="s">
        <v>403</v>
      </c>
      <c r="F19" s="1090"/>
      <c r="G19" s="118"/>
      <c r="H19" s="983" t="s">
        <v>446</v>
      </c>
      <c r="I19" s="981" t="s">
        <v>447</v>
      </c>
      <c r="J19" s="981" t="s">
        <v>448</v>
      </c>
      <c r="K19" s="981" t="s">
        <v>449</v>
      </c>
      <c r="L19" s="981" t="s">
        <v>450</v>
      </c>
      <c r="M19" s="981" t="s">
        <v>451</v>
      </c>
      <c r="N19" s="981" t="s">
        <v>452</v>
      </c>
      <c r="O19" s="985" t="s">
        <v>453</v>
      </c>
      <c r="P19" s="981" t="s">
        <v>454</v>
      </c>
      <c r="Q19" s="981" t="s">
        <v>455</v>
      </c>
      <c r="R19" s="981" t="s">
        <v>456</v>
      </c>
      <c r="S19" s="982" t="s">
        <v>457</v>
      </c>
      <c r="T19" s="980" t="s">
        <v>458</v>
      </c>
      <c r="U19" s="980" t="s">
        <v>459</v>
      </c>
      <c r="V19" s="980" t="s">
        <v>460</v>
      </c>
      <c r="W19" s="984" t="s">
        <v>461</v>
      </c>
      <c r="AC19" s="975" t="s">
        <v>444</v>
      </c>
      <c r="AD19" s="975" t="s">
        <v>3334</v>
      </c>
    </row>
    <row r="20" spans="3:41" ht="26.5" customHeight="1" thickTop="1" thickBot="1" x14ac:dyDescent="0.4">
      <c r="C20" s="986" t="s">
        <v>404</v>
      </c>
      <c r="D20" s="986"/>
      <c r="E20" s="1091" t="s">
        <v>1805</v>
      </c>
      <c r="F20" s="1092"/>
      <c r="G20" s="118"/>
      <c r="H20" s="977">
        <f>_xlfn.XLOOKUP(D21, CityKey, Data_Elev_m, "")</f>
        <v>255</v>
      </c>
      <c r="I20" s="978">
        <f>_xlfn.XLOOKUP(D21, CityKey, Data_Jan_2_5_C, "")</f>
        <v>-38</v>
      </c>
      <c r="J20" s="978">
        <f>_xlfn.XLOOKUP(D21, CityKey, Data_Jan_1_C, "")</f>
        <v>-40</v>
      </c>
      <c r="K20" s="978">
        <f>_xlfn.XLOOKUP(D21, CityKey, Data_Jul_2_5_Dry_C, "")</f>
        <v>28</v>
      </c>
      <c r="L20" s="978">
        <f>_xlfn.XLOOKUP(D21, CityKey, Data_Jul_2_5_Wet_C, "")</f>
        <v>19</v>
      </c>
      <c r="M20" s="978">
        <f>_xlfn.XLOOKUP(D21, CityKey, Data_Degree_Days_18_C, "")</f>
        <v>6250</v>
      </c>
      <c r="N20" s="978">
        <f>_xlfn.XLOOKUP(D21, CityKey, Data_15_min_Rain_mm, "")</f>
        <v>13</v>
      </c>
      <c r="O20" s="978">
        <f>_xlfn.XLOOKUP(D21, CityKey, Data_One_Day_Rain_1_50_mm, "")</f>
        <v>86</v>
      </c>
      <c r="P20" s="978">
        <f>_xlfn.XLOOKUP(D21, CityKey, Data_Annual_Rain_mm, "")</f>
        <v>340</v>
      </c>
      <c r="Q20" s="978">
        <f>_xlfn.XLOOKUP(D21, CityKey, Data_Moist_Index, "")</f>
        <v>0.5</v>
      </c>
      <c r="R20" s="978">
        <f>_xlfn.XLOOKUP(D21, CityKey, Data_Ann_Total_Ppn_mm, "")</f>
        <v>460</v>
      </c>
      <c r="S20" s="978">
        <f>_xlfn.XLOOKUP(D21, CityKey, Data_Driving_Rain_Pressure_Pa_1_5, "")</f>
        <v>60</v>
      </c>
      <c r="T20" s="978">
        <f>_xlfn.XLOOKUP(D21, CityKey, Data_Snow_Ss_kPa_1_50, "")</f>
        <v>1.5</v>
      </c>
      <c r="U20" s="978">
        <f>_xlfn.XLOOKUP(D21, CityKey, Data_Snow_Sr_kPa_1_50, "")</f>
        <v>0.1</v>
      </c>
      <c r="V20" s="978">
        <f>_xlfn.XLOOKUP(D21, CityKey, Data_Hourly_Wind_kPa_1_10, "")</f>
        <v>0.28000000000000003</v>
      </c>
      <c r="W20" s="979">
        <f>_xlfn.XLOOKUP(D21, CityKey, Data_Hourly_Wind_kPa_1_50, "")</f>
        <v>0.35</v>
      </c>
      <c r="AC20" s="976" t="str">
        <f>_xlfn.XLOOKUP(D$21,CityKey,Data_Province,"")</f>
        <v>Alberta</v>
      </c>
      <c r="AD20" s="976" t="str">
        <f>_xlfn.XLOOKUP(D21, CityKey, Data_Province_and_Location, "")</f>
        <v>Fort McMurray</v>
      </c>
    </row>
    <row r="21" spans="3:41" ht="21" customHeight="1" x14ac:dyDescent="0.35">
      <c r="C21" s="994" t="s">
        <v>442</v>
      </c>
      <c r="D21" s="994" t="str">
        <f>E19&amp;"|"&amp;E20</f>
        <v>Alberta|Fort McMurray</v>
      </c>
      <c r="E21" s="995" t="s">
        <v>3342</v>
      </c>
      <c r="F21" s="995"/>
      <c r="G21" s="993"/>
      <c r="AI21" s="3"/>
      <c r="AL21" s="8"/>
      <c r="AM21" s="195"/>
      <c r="AO21" s="8"/>
    </row>
    <row r="22" spans="3:41" ht="16.5" customHeight="1" x14ac:dyDescent="0.35">
      <c r="C22" s="996" t="s">
        <v>409</v>
      </c>
      <c r="D22" s="497"/>
      <c r="E22" s="997"/>
      <c r="F22" s="997"/>
      <c r="G22" s="118"/>
      <c r="AI22" s="3"/>
      <c r="AL22" s="8"/>
      <c r="AM22" s="195"/>
      <c r="AO22" s="8"/>
    </row>
    <row r="23" spans="3:41" ht="17" customHeight="1" thickBot="1" x14ac:dyDescent="0.35">
      <c r="G23" s="44"/>
      <c r="AI23" s="3"/>
      <c r="AL23" s="8"/>
      <c r="AM23" s="195"/>
      <c r="AO23" s="8"/>
    </row>
    <row r="24" spans="3:41" ht="17.25" customHeight="1" thickBot="1" x14ac:dyDescent="0.4">
      <c r="C24" s="754" t="s">
        <v>406</v>
      </c>
      <c r="D24" s="753"/>
      <c r="E24" s="1093" t="s">
        <v>407</v>
      </c>
      <c r="F24" s="1094"/>
      <c r="G24" s="142"/>
      <c r="H24" s="956"/>
      <c r="I24" s="957"/>
      <c r="J24" s="142"/>
      <c r="K24" s="888"/>
      <c r="L24" s="889"/>
      <c r="M24" s="885"/>
      <c r="N24" s="541"/>
      <c r="O24" s="30"/>
      <c r="P24" s="397"/>
      <c r="R24" s="38"/>
    </row>
    <row r="25" spans="3:41" ht="15.75" customHeight="1" thickBot="1" x14ac:dyDescent="0.4">
      <c r="C25" s="95" t="s">
        <v>408</v>
      </c>
      <c r="E25" s="142"/>
      <c r="F25" s="142"/>
      <c r="G25" s="142"/>
      <c r="H25" s="142"/>
      <c r="I25" s="142"/>
      <c r="J25" s="142"/>
      <c r="K25" s="142"/>
      <c r="L25" s="142"/>
      <c r="M25" s="142"/>
      <c r="N25" s="2"/>
      <c r="O25" s="752"/>
      <c r="P25" s="752"/>
      <c r="S25" s="1087"/>
      <c r="T25" s="1088"/>
      <c r="U25" s="1088"/>
    </row>
    <row r="26" spans="3:41" ht="15.75" customHeight="1" thickBot="1" x14ac:dyDescent="0.4">
      <c r="E26" s="1095" t="str">
        <f t="array" ref="E26">GetCoordinatesOfficial(E24)</f>
        <v>68.3602632, -133.7203860</v>
      </c>
      <c r="F26" s="1094"/>
      <c r="G26" s="142"/>
      <c r="H26" s="142" t="str" cm="1">
        <f t="array" ref="H26">RoundCoordinates(E26,2)</f>
        <v>68.36,-133.72</v>
      </c>
      <c r="I26" s="142"/>
      <c r="J26" s="141"/>
      <c r="K26" s="142"/>
      <c r="L26" s="142"/>
      <c r="M26" s="142"/>
      <c r="N26" s="2"/>
      <c r="O26" s="751"/>
      <c r="P26" s="751"/>
      <c r="S26" s="38"/>
      <c r="T26" s="38"/>
      <c r="U26" s="38"/>
    </row>
    <row r="27" spans="3:41" ht="15.75" customHeight="1" x14ac:dyDescent="0.3">
      <c r="E27" s="860"/>
      <c r="F27" s="860"/>
      <c r="G27" s="142"/>
      <c r="H27" s="142"/>
      <c r="I27" s="142"/>
      <c r="K27" s="142"/>
      <c r="L27" s="142"/>
      <c r="M27" s="142"/>
      <c r="N27" s="2"/>
      <c r="O27" s="751"/>
      <c r="P27" s="751"/>
      <c r="S27" s="38"/>
      <c r="T27" s="38"/>
      <c r="U27" s="38"/>
    </row>
    <row r="28" spans="3:41" ht="16.5" customHeight="1" x14ac:dyDescent="0.35">
      <c r="C28" s="953" t="s">
        <v>409</v>
      </c>
      <c r="D28" s="917"/>
      <c r="E28" s="893"/>
      <c r="F28" s="893"/>
      <c r="G28" s="142"/>
      <c r="L28" s="141"/>
      <c r="M28" s="900"/>
      <c r="N28" s="2"/>
      <c r="P28" s="897"/>
      <c r="R28" s="38"/>
    </row>
    <row r="29" spans="3:41" ht="17.25" customHeight="1" thickBot="1" x14ac:dyDescent="0.4">
      <c r="C29" s="921"/>
      <c r="D29" s="917"/>
      <c r="E29" s="893"/>
      <c r="F29" s="893"/>
      <c r="G29" s="142"/>
      <c r="L29" s="141"/>
      <c r="M29" s="902"/>
      <c r="N29" s="2"/>
      <c r="P29" s="897"/>
      <c r="R29" s="38"/>
    </row>
    <row r="30" spans="3:41" ht="15.75" customHeight="1" thickBot="1" x14ac:dyDescent="0.4">
      <c r="C30" s="922" t="s">
        <v>410</v>
      </c>
      <c r="D30" s="923"/>
      <c r="E30" s="1096"/>
      <c r="F30" s="1094"/>
      <c r="G30" s="26"/>
      <c r="H30" s="954"/>
      <c r="I30" s="954"/>
      <c r="J30" s="26"/>
      <c r="K30" s="955"/>
      <c r="L30" s="941"/>
      <c r="M30" s="902"/>
      <c r="N30" s="2"/>
      <c r="P30" s="901"/>
      <c r="S30" s="1087"/>
      <c r="T30" s="1088"/>
      <c r="U30" s="1088"/>
    </row>
    <row r="31" spans="3:41" ht="15.75" customHeight="1" x14ac:dyDescent="0.3">
      <c r="G31" s="44"/>
      <c r="H31" s="142"/>
      <c r="J31" s="30"/>
      <c r="M31" s="3"/>
      <c r="N31" s="2"/>
      <c r="AI31" s="3"/>
      <c r="AL31" s="8"/>
      <c r="AM31" s="195"/>
      <c r="AO31" s="8"/>
    </row>
    <row r="32" spans="3:41" ht="15.75" customHeight="1" x14ac:dyDescent="0.3">
      <c r="G32" s="44"/>
      <c r="H32" s="142"/>
      <c r="J32" s="30"/>
      <c r="M32" s="3"/>
      <c r="N32" s="2"/>
      <c r="AI32" s="3"/>
      <c r="AL32" s="8"/>
      <c r="AM32" s="195"/>
      <c r="AO32" s="8"/>
    </row>
    <row r="33" spans="2:41" ht="15.75" customHeight="1" x14ac:dyDescent="0.4">
      <c r="B33" s="470" t="s">
        <v>411</v>
      </c>
      <c r="C33" s="471"/>
      <c r="D33" s="471"/>
      <c r="E33" s="471"/>
      <c r="F33" s="471"/>
      <c r="G33" s="471"/>
      <c r="H33" s="153"/>
      <c r="N33" s="2"/>
      <c r="AI33" s="3"/>
      <c r="AL33" s="8"/>
      <c r="AM33" s="195"/>
      <c r="AO33" s="8"/>
    </row>
    <row r="34" spans="2:41" ht="15.75" customHeight="1" x14ac:dyDescent="0.35">
      <c r="B34" s="96" t="s">
        <v>412</v>
      </c>
      <c r="C34" s="303"/>
      <c r="D34" s="302"/>
      <c r="E34" s="296"/>
      <c r="F34" s="296"/>
      <c r="G34" s="296"/>
      <c r="H34" s="296"/>
      <c r="K34" s="142"/>
      <c r="L34" s="142"/>
      <c r="M34" s="142"/>
      <c r="N34" s="142"/>
      <c r="U34" s="95"/>
    </row>
    <row r="35" spans="2:41" ht="15.65" customHeight="1" x14ac:dyDescent="0.3">
      <c r="K35" s="142"/>
      <c r="L35" s="142"/>
      <c r="M35" s="142"/>
      <c r="N35" s="141"/>
    </row>
    <row r="36" spans="2:41" ht="15.65" customHeight="1" x14ac:dyDescent="0.35">
      <c r="B36" s="194" t="s">
        <v>413</v>
      </c>
      <c r="C36" s="194"/>
      <c r="D36" s="194"/>
      <c r="E36" s="194"/>
      <c r="H36" s="52"/>
      <c r="J36" s="972" t="s">
        <v>414</v>
      </c>
      <c r="K36" s="972"/>
      <c r="L36" s="972"/>
      <c r="M36" s="973"/>
      <c r="N36" s="2"/>
    </row>
    <row r="37" spans="2:41" ht="15.65" customHeight="1" thickBot="1" x14ac:dyDescent="0.4">
      <c r="B37" s="104"/>
      <c r="C37" s="104"/>
      <c r="D37" s="104"/>
      <c r="E37" s="104"/>
      <c r="H37" s="48"/>
      <c r="I37" s="3"/>
      <c r="J37" s="142"/>
      <c r="K37" s="398"/>
      <c r="L37" s="399"/>
      <c r="M37" s="142"/>
      <c r="N37" s="2"/>
    </row>
    <row r="38" spans="2:41" ht="15.65" customHeight="1" thickBot="1" x14ac:dyDescent="0.35">
      <c r="B38" s="1123" t="s">
        <v>415</v>
      </c>
      <c r="C38" s="1098"/>
      <c r="D38" s="1098"/>
      <c r="E38" s="1098"/>
      <c r="F38" s="94"/>
      <c r="K38" s="491" t="s">
        <v>416</v>
      </c>
      <c r="L38" s="490"/>
      <c r="M38" s="148"/>
      <c r="N38" s="394" t="s">
        <v>417</v>
      </c>
      <c r="O38" s="394"/>
      <c r="P38" s="52"/>
    </row>
    <row r="39" spans="2:41" ht="15.65" customHeight="1" thickBot="1" x14ac:dyDescent="0.4">
      <c r="B39" s="194" t="s">
        <v>418</v>
      </c>
      <c r="C39" s="469"/>
      <c r="D39" s="469"/>
      <c r="E39" s="469"/>
      <c r="F39" s="94"/>
      <c r="K39" s="492" t="s">
        <v>419</v>
      </c>
      <c r="L39" s="490"/>
      <c r="M39" s="148"/>
      <c r="N39" s="394" t="s">
        <v>417</v>
      </c>
      <c r="O39" s="394"/>
      <c r="P39" s="52"/>
    </row>
    <row r="40" spans="2:41" ht="15.75" customHeight="1" thickBot="1" x14ac:dyDescent="0.4">
      <c r="B40" s="194"/>
      <c r="C40" s="194"/>
      <c r="D40" s="194"/>
      <c r="E40" s="194"/>
      <c r="F40" s="94"/>
      <c r="I40" s="3"/>
      <c r="J40" s="141"/>
      <c r="K40" s="399"/>
      <c r="L40" s="399"/>
      <c r="M40" s="148"/>
      <c r="N40" s="395"/>
      <c r="O40" s="395"/>
    </row>
    <row r="41" spans="2:41" ht="17.25" customHeight="1" thickBot="1" x14ac:dyDescent="0.4">
      <c r="B41" s="194" t="s">
        <v>420</v>
      </c>
      <c r="C41" s="194"/>
      <c r="D41" s="194"/>
      <c r="E41" s="194"/>
      <c r="F41" s="94"/>
      <c r="J41" s="523" t="s">
        <v>421</v>
      </c>
      <c r="K41" s="524" t="s">
        <v>422</v>
      </c>
      <c r="L41" s="525">
        <f>IF(K38="SLS",0.9,
IF(K38="ULS",
IF(K39="Low",0.8,
IF(K39="Normal",1,
IF(K39="High",1.15,
IF(K39="Post-Disaster",1.25,"")))),
""))</f>
        <v>1</v>
      </c>
      <c r="M41" s="148"/>
      <c r="N41" s="394" t="s">
        <v>417</v>
      </c>
      <c r="O41" s="394"/>
    </row>
    <row r="42" spans="2:41" ht="15.75" customHeight="1" thickBot="1" x14ac:dyDescent="0.4">
      <c r="B42" s="194"/>
      <c r="C42" s="104"/>
      <c r="D42" s="104"/>
      <c r="E42" s="104"/>
      <c r="F42" s="94"/>
      <c r="H42" s="42"/>
      <c r="I42" s="3"/>
      <c r="J42" s="142"/>
      <c r="K42" s="401"/>
      <c r="L42" s="399"/>
      <c r="M42" s="142"/>
      <c r="N42" s="2"/>
    </row>
    <row r="43" spans="2:41" ht="15.75" customHeight="1" thickBot="1" x14ac:dyDescent="0.4">
      <c r="B43" s="194"/>
      <c r="C43" s="104"/>
      <c r="D43" s="104"/>
      <c r="E43" s="104"/>
      <c r="F43" s="94"/>
      <c r="J43" s="400" t="s">
        <v>423</v>
      </c>
      <c r="K43" s="402" t="s">
        <v>422</v>
      </c>
      <c r="L43" s="403">
        <f>T20</f>
        <v>1.5</v>
      </c>
      <c r="M43" s="526" t="s">
        <v>366</v>
      </c>
      <c r="N43" s="393" t="s">
        <v>424</v>
      </c>
      <c r="O43" s="393"/>
      <c r="P43" s="393"/>
    </row>
    <row r="44" spans="2:41" ht="15.75" customHeight="1" thickBot="1" x14ac:dyDescent="0.4">
      <c r="B44" s="104"/>
      <c r="C44" s="194"/>
      <c r="D44" s="194"/>
      <c r="E44" s="194"/>
      <c r="H44" s="894" t="s">
        <v>425</v>
      </c>
      <c r="I44" s="404"/>
      <c r="J44" s="400" t="s">
        <v>426</v>
      </c>
      <c r="K44" s="402" t="s">
        <v>422</v>
      </c>
      <c r="L44" s="403">
        <f>U20</f>
        <v>0.1</v>
      </c>
      <c r="M44" s="526" t="s">
        <v>366</v>
      </c>
      <c r="N44" s="2"/>
    </row>
    <row r="45" spans="2:41" ht="15.75" customHeight="1" x14ac:dyDescent="0.35">
      <c r="B45" s="104"/>
      <c r="C45" s="104"/>
      <c r="D45" s="104"/>
      <c r="E45" s="104"/>
      <c r="Q45" s="4"/>
      <c r="R45" s="3"/>
      <c r="S45" s="38"/>
      <c r="T45" s="38"/>
      <c r="U45" s="38"/>
    </row>
    <row r="46" spans="2:41" ht="15.75" customHeight="1" x14ac:dyDescent="0.35">
      <c r="B46" s="104"/>
      <c r="C46" s="70" t="s">
        <v>427</v>
      </c>
      <c r="D46" s="104"/>
      <c r="E46" s="104"/>
      <c r="Q46" s="4"/>
      <c r="R46" s="3"/>
      <c r="S46" s="38"/>
      <c r="T46" s="38"/>
      <c r="U46" s="38"/>
    </row>
    <row r="47" spans="2:41" ht="15.75" customHeight="1" x14ac:dyDescent="0.35">
      <c r="B47" s="104"/>
      <c r="C47" s="71" t="s">
        <v>428</v>
      </c>
      <c r="D47" s="371"/>
      <c r="E47" s="371"/>
      <c r="F47" s="4"/>
      <c r="Q47" s="4"/>
      <c r="S47" s="38"/>
      <c r="T47" s="38"/>
      <c r="U47" s="38"/>
    </row>
    <row r="48" spans="2:41" ht="15.75" customHeight="1" x14ac:dyDescent="0.35">
      <c r="B48" s="104"/>
      <c r="C48" s="104" t="s">
        <v>429</v>
      </c>
      <c r="D48" s="104"/>
      <c r="E48" s="104"/>
      <c r="F48" s="47"/>
      <c r="Q48" s="4"/>
      <c r="S48" s="38"/>
      <c r="T48" s="38"/>
      <c r="U48" s="38"/>
    </row>
    <row r="49" spans="3:21" ht="15.75" customHeight="1" x14ac:dyDescent="0.3">
      <c r="F49" s="47"/>
      <c r="Q49" s="4"/>
      <c r="S49" s="38"/>
      <c r="T49" s="38"/>
      <c r="U49" s="38"/>
    </row>
    <row r="50" spans="3:21" ht="15.75" customHeight="1" x14ac:dyDescent="0.3">
      <c r="F50" s="47"/>
      <c r="Q50" s="4"/>
      <c r="S50" s="38"/>
      <c r="T50" s="38"/>
      <c r="U50" s="38"/>
    </row>
    <row r="51" spans="3:21" ht="15.75" customHeight="1" x14ac:dyDescent="0.35">
      <c r="D51" s="118" t="s">
        <v>430</v>
      </c>
      <c r="E51" s="290" t="s">
        <v>431</v>
      </c>
      <c r="F51" s="58"/>
      <c r="I51" s="45"/>
      <c r="M51" s="42"/>
      <c r="N51" s="2"/>
      <c r="T51" s="38"/>
      <c r="U51" s="38"/>
    </row>
    <row r="52" spans="3:21" ht="15.75" customHeight="1" x14ac:dyDescent="0.3">
      <c r="D52" s="44"/>
      <c r="E52" s="287"/>
      <c r="F52" s="42"/>
      <c r="P52" s="42"/>
      <c r="Q52" s="43"/>
      <c r="R52" s="42"/>
      <c r="S52" s="38"/>
      <c r="T52" s="38"/>
      <c r="U52" s="38"/>
    </row>
    <row r="53" spans="3:21" ht="20.5" customHeight="1" x14ac:dyDescent="0.35">
      <c r="D53" s="118" t="s">
        <v>391</v>
      </c>
      <c r="E53" s="502">
        <f>F11</f>
        <v>25</v>
      </c>
      <c r="F53" s="123" t="s">
        <v>392</v>
      </c>
      <c r="G53" s="118" t="s">
        <v>393</v>
      </c>
      <c r="H53" s="222">
        <f>I11</f>
        <v>35.619999999999997</v>
      </c>
      <c r="I53" s="959" t="s">
        <v>392</v>
      </c>
      <c r="J53" s="289" t="s">
        <v>394</v>
      </c>
      <c r="K53" s="222">
        <f>L11</f>
        <v>2.907</v>
      </c>
      <c r="L53" s="123" t="s">
        <v>392</v>
      </c>
      <c r="M53" s="58"/>
      <c r="N53" s="960" t="s">
        <v>432</v>
      </c>
      <c r="O53" s="961">
        <v>17.591000000000001</v>
      </c>
      <c r="P53" s="962" t="s">
        <v>392</v>
      </c>
    </row>
    <row r="54" spans="3:21" ht="16" customHeight="1" x14ac:dyDescent="0.3">
      <c r="G54" s="45"/>
      <c r="H54" s="45"/>
      <c r="I54" s="45"/>
      <c r="J54" s="45"/>
      <c r="K54" s="45"/>
      <c r="L54" s="45"/>
      <c r="N54" s="97"/>
      <c r="O54" s="43"/>
      <c r="P54" s="42"/>
      <c r="Q54" s="512"/>
      <c r="S54" s="42"/>
      <c r="T54" s="38"/>
      <c r="U54" s="38"/>
    </row>
    <row r="55" spans="3:21" ht="17.25" customHeight="1" x14ac:dyDescent="0.4">
      <c r="D55" s="466" t="s">
        <v>433</v>
      </c>
      <c r="E55" s="468"/>
      <c r="F55" s="73"/>
      <c r="I55" s="62"/>
      <c r="Q55" s="513"/>
      <c r="S55" s="38"/>
      <c r="T55" s="38"/>
      <c r="U55" s="38"/>
    </row>
    <row r="56" spans="3:21" ht="17.25" customHeight="1" x14ac:dyDescent="0.35">
      <c r="D56" s="92" t="s">
        <v>422</v>
      </c>
      <c r="E56" s="40">
        <f>2*(E53-(E53^2/H53))</f>
        <v>14.90735541830432</v>
      </c>
      <c r="F56" s="73" t="s">
        <v>392</v>
      </c>
      <c r="I56" s="62"/>
      <c r="J56" s="535"/>
      <c r="K56" s="222"/>
      <c r="L56" s="536"/>
      <c r="Q56" s="513"/>
      <c r="S56" s="38"/>
      <c r="T56" s="38"/>
      <c r="U56" s="38"/>
    </row>
    <row r="57" spans="3:21" ht="15.75" customHeight="1" thickBot="1" x14ac:dyDescent="0.4">
      <c r="I57" s="62"/>
      <c r="J57" s="182"/>
      <c r="K57" s="41"/>
      <c r="L57" s="537"/>
      <c r="O57" s="396"/>
      <c r="P57" s="396"/>
      <c r="Q57" s="514"/>
      <c r="R57" s="515"/>
      <c r="S57" s="38"/>
      <c r="T57" s="38"/>
      <c r="U57" s="38"/>
    </row>
    <row r="58" spans="3:21" ht="17.25" customHeight="1" thickBot="1" x14ac:dyDescent="0.5">
      <c r="D58" s="500" t="s">
        <v>434</v>
      </c>
      <c r="E58" s="501">
        <f>(70/M66^2)</f>
        <v>70</v>
      </c>
      <c r="F58" s="73" t="s">
        <v>392</v>
      </c>
      <c r="G58" s="139" t="b">
        <f>IF(E56&lt;= E58, TRUE, "FALSE, Refer to Table 4.1.6.2.-B")</f>
        <v>1</v>
      </c>
      <c r="I58" s="62"/>
      <c r="K58" s="756" t="s">
        <v>435</v>
      </c>
      <c r="L58" s="755" t="s">
        <v>422</v>
      </c>
      <c r="M58" s="314">
        <f>IF(G58, 0.8)</f>
        <v>0.8</v>
      </c>
      <c r="R58" s="516"/>
      <c r="S58" s="510"/>
    </row>
    <row r="59" spans="3:21" ht="15.65" customHeight="1" x14ac:dyDescent="0.4">
      <c r="I59" s="62"/>
      <c r="J59" s="62"/>
      <c r="R59" s="516"/>
      <c r="S59" s="510"/>
    </row>
    <row r="60" spans="3:21" ht="15.65" customHeight="1" x14ac:dyDescent="0.4">
      <c r="R60" s="516"/>
      <c r="S60" s="510"/>
    </row>
    <row r="61" spans="3:21" ht="18.75" customHeight="1" x14ac:dyDescent="0.3">
      <c r="N61" s="2"/>
      <c r="O61" s="26"/>
      <c r="P61" s="394"/>
      <c r="Q61" s="394"/>
      <c r="R61" s="384"/>
      <c r="S61" s="42"/>
    </row>
    <row r="62" spans="3:21" ht="15.75" customHeight="1" x14ac:dyDescent="0.35">
      <c r="C62" s="70" t="s">
        <v>436</v>
      </c>
      <c r="D62" s="70"/>
      <c r="E62" s="70"/>
      <c r="F62" s="70"/>
      <c r="G62" s="52"/>
      <c r="N62" s="2"/>
      <c r="R62" s="517"/>
    </row>
    <row r="63" spans="3:21" ht="15.75" customHeight="1" x14ac:dyDescent="0.35">
      <c r="C63" s="70" t="s">
        <v>437</v>
      </c>
      <c r="D63" s="49"/>
      <c r="E63" s="49"/>
      <c r="F63" s="184"/>
      <c r="G63" s="52"/>
      <c r="N63" s="2"/>
      <c r="O63" s="30"/>
      <c r="R63" s="517"/>
    </row>
    <row r="64" spans="3:21" ht="15.75" customHeight="1" x14ac:dyDescent="0.35">
      <c r="C64" s="70"/>
      <c r="D64" s="49"/>
      <c r="E64" s="49"/>
      <c r="F64" s="184"/>
      <c r="G64" s="52"/>
      <c r="N64" s="2"/>
      <c r="O64" s="30"/>
      <c r="R64" s="517"/>
    </row>
    <row r="65" spans="3:24" ht="15.75" customHeight="1" thickBot="1" x14ac:dyDescent="0.4">
      <c r="D65" s="70"/>
      <c r="E65" s="70"/>
      <c r="F65" s="70"/>
      <c r="G65" s="52"/>
      <c r="N65" s="2"/>
      <c r="O65" s="30"/>
      <c r="R65" s="517"/>
    </row>
    <row r="66" spans="3:24" ht="17.25" customHeight="1" thickBot="1" x14ac:dyDescent="0.4">
      <c r="C66" s="754" t="s">
        <v>406</v>
      </c>
      <c r="D66" s="753"/>
      <c r="E66" s="1093" t="s">
        <v>3335</v>
      </c>
      <c r="F66" s="1094"/>
      <c r="G66" s="142"/>
      <c r="H66" s="1124" t="str">
        <f t="array" ref="H66">IsNorthOfTreeLine(E66)</f>
        <v>South of the treeline</v>
      </c>
      <c r="I66" s="1094"/>
      <c r="J66" s="142"/>
      <c r="K66" s="861" t="s">
        <v>439</v>
      </c>
      <c r="L66" s="862" t="s">
        <v>422</v>
      </c>
      <c r="M66" s="864">
        <f>IFERROR(
  IF(VALUE(SUBSTITUTE(LEFT($E$68, FIND(",", $E$68&amp;",")-1)," ",""))&gt;=60,
     0.5,
     IF(ISNUMBER($E$70), IF($E$70&gt;=100000,1,0.75), 1)
  ),
  1
)</f>
        <v>1</v>
      </c>
      <c r="N66" s="541"/>
      <c r="O66" s="30"/>
      <c r="P66" s="397"/>
      <c r="R66" s="38"/>
    </row>
    <row r="67" spans="3:24" ht="15.75" customHeight="1" thickBot="1" x14ac:dyDescent="0.4">
      <c r="C67" s="95" t="s">
        <v>408</v>
      </c>
      <c r="E67" s="142"/>
      <c r="F67" s="142"/>
      <c r="G67" s="142"/>
      <c r="J67" s="142"/>
      <c r="N67" s="2"/>
      <c r="O67" s="752"/>
      <c r="P67" s="752"/>
      <c r="S67" s="1087"/>
      <c r="T67" s="1088"/>
      <c r="U67" s="1088"/>
    </row>
    <row r="68" spans="3:24" ht="15.75" customHeight="1" thickBot="1" x14ac:dyDescent="0.4">
      <c r="E68" s="1095" t="str">
        <f t="array" ref="E68">GetCoordinatesOfficial(E66)</f>
        <v>57.1825744, -111.6378436</v>
      </c>
      <c r="F68" s="1094"/>
      <c r="G68" s="142"/>
      <c r="H68" s="142"/>
      <c r="I68" s="142"/>
      <c r="J68" s="141"/>
      <c r="K68" s="888"/>
      <c r="L68" s="889"/>
      <c r="M68" s="885"/>
      <c r="N68" s="2"/>
      <c r="O68" s="751"/>
      <c r="P68" s="751"/>
      <c r="S68" s="38"/>
      <c r="T68" s="38"/>
      <c r="U68" s="38"/>
    </row>
    <row r="69" spans="3:24" ht="15.75" customHeight="1" x14ac:dyDescent="0.35">
      <c r="E69" s="860"/>
      <c r="F69" s="860"/>
      <c r="G69" s="142"/>
      <c r="H69" s="142"/>
      <c r="I69" s="142"/>
      <c r="J69" s="142"/>
      <c r="K69" s="142"/>
      <c r="L69" s="1125"/>
      <c r="M69" s="1086"/>
      <c r="N69" s="2"/>
      <c r="O69" s="751"/>
      <c r="P69" s="751"/>
      <c r="S69" s="38"/>
      <c r="T69" s="38"/>
      <c r="U69" s="38"/>
    </row>
    <row r="70" spans="3:24" ht="16.5" customHeight="1" x14ac:dyDescent="0.35">
      <c r="C70" s="953" t="s">
        <v>409</v>
      </c>
      <c r="D70" s="917"/>
      <c r="E70" s="893"/>
      <c r="F70" s="893"/>
      <c r="G70" s="142"/>
      <c r="L70" s="141"/>
      <c r="M70" s="902"/>
      <c r="N70" s="2"/>
      <c r="P70" s="897"/>
      <c r="R70" s="38"/>
    </row>
    <row r="71" spans="3:24" ht="17.25" customHeight="1" thickBot="1" x14ac:dyDescent="0.4">
      <c r="C71" s="921"/>
      <c r="D71" s="917"/>
      <c r="E71" s="893"/>
      <c r="F71" s="893"/>
      <c r="G71" s="142"/>
      <c r="L71" s="141"/>
      <c r="M71" s="902"/>
      <c r="N71" s="2"/>
      <c r="P71" s="897"/>
      <c r="R71" s="38"/>
    </row>
    <row r="72" spans="3:24" ht="15.75" customHeight="1" thickBot="1" x14ac:dyDescent="0.4">
      <c r="C72" s="922" t="s">
        <v>410</v>
      </c>
      <c r="D72" s="923"/>
      <c r="E72" s="1096" t="s">
        <v>440</v>
      </c>
      <c r="F72" s="1094"/>
      <c r="G72" s="26"/>
      <c r="H72" s="954"/>
      <c r="I72" s="954"/>
      <c r="J72" s="26"/>
      <c r="K72" s="955"/>
      <c r="L72" s="941"/>
      <c r="M72" s="902"/>
      <c r="N72" s="2"/>
      <c r="P72" s="901"/>
      <c r="S72" s="1087"/>
      <c r="T72" s="1088"/>
      <c r="U72" s="1088"/>
    </row>
    <row r="73" spans="3:24" ht="15.75" customHeight="1" x14ac:dyDescent="0.35">
      <c r="C73" s="922"/>
      <c r="D73" s="923"/>
      <c r="E73" s="221"/>
      <c r="G73" s="26"/>
      <c r="H73" s="954"/>
      <c r="I73" s="954"/>
      <c r="J73" s="26"/>
      <c r="K73" s="955"/>
      <c r="L73" s="941"/>
      <c r="M73" s="902"/>
      <c r="N73" s="2"/>
      <c r="P73" s="902"/>
      <c r="S73" s="38"/>
      <c r="T73" s="38"/>
      <c r="U73" s="38"/>
    </row>
    <row r="74" spans="3:24" ht="15.75" customHeight="1" x14ac:dyDescent="0.35">
      <c r="N74" s="2"/>
      <c r="O74" s="30"/>
      <c r="P74" s="397"/>
      <c r="Q74" s="282"/>
      <c r="S74" s="1087"/>
      <c r="T74" s="1088"/>
      <c r="U74" s="1088"/>
      <c r="X74" s="52"/>
    </row>
    <row r="75" spans="3:24" ht="15.65" hidden="1" customHeight="1" x14ac:dyDescent="0.3">
      <c r="C75" s="52" t="s">
        <v>462</v>
      </c>
      <c r="D75" s="52"/>
      <c r="E75" s="52"/>
      <c r="F75" s="52"/>
      <c r="N75" s="2"/>
      <c r="O75" s="30"/>
      <c r="S75" s="38"/>
      <c r="T75" s="38"/>
      <c r="U75" s="38"/>
    </row>
    <row r="76" spans="3:24" ht="15.75" hidden="1" customHeight="1" x14ac:dyDescent="0.3">
      <c r="C76" s="52"/>
      <c r="D76" s="52"/>
      <c r="E76" s="52"/>
      <c r="F76" s="52"/>
      <c r="N76" s="2"/>
      <c r="O76" s="30"/>
      <c r="S76" s="38"/>
      <c r="T76" s="38"/>
      <c r="U76" s="38"/>
    </row>
    <row r="77" spans="3:24" ht="15.75" customHeight="1" x14ac:dyDescent="0.3">
      <c r="C77" s="52" t="s">
        <v>428</v>
      </c>
      <c r="D77" s="52"/>
      <c r="E77" s="52"/>
      <c r="F77" s="52"/>
      <c r="N77" s="2"/>
      <c r="O77" s="30"/>
      <c r="S77" s="38"/>
      <c r="T77" s="38"/>
      <c r="U77" s="38"/>
    </row>
    <row r="78" spans="3:24" ht="15.65" customHeight="1" thickBot="1" x14ac:dyDescent="0.4">
      <c r="C78" s="52"/>
      <c r="D78" s="52"/>
      <c r="E78" s="52"/>
      <c r="F78" s="52"/>
      <c r="N78" s="2"/>
      <c r="O78" s="30"/>
      <c r="S78" s="1087"/>
      <c r="T78" s="1088"/>
      <c r="U78" s="1088"/>
    </row>
    <row r="79" spans="3:24" ht="15.65" customHeight="1" thickBot="1" x14ac:dyDescent="0.4">
      <c r="D79" s="304" t="s">
        <v>463</v>
      </c>
      <c r="E79" s="184" t="s">
        <v>464</v>
      </c>
      <c r="F79" s="184"/>
      <c r="G79" s="184"/>
      <c r="K79" s="503" t="s">
        <v>463</v>
      </c>
      <c r="L79" s="310">
        <f>DEGREES(ATAN(K53/(0.5*F13)))</f>
        <v>18.290203545570861</v>
      </c>
      <c r="M79" s="504" t="s">
        <v>465</v>
      </c>
      <c r="S79" s="38"/>
      <c r="T79" s="38"/>
      <c r="U79" s="38"/>
    </row>
    <row r="80" spans="3:24" ht="15.75" customHeight="1" x14ac:dyDescent="0.3">
      <c r="E80" s="47"/>
      <c r="F80" s="47"/>
      <c r="G80" s="46"/>
      <c r="S80" s="38"/>
      <c r="T80" s="38"/>
      <c r="U80" s="38"/>
    </row>
    <row r="81" spans="3:36" ht="15.75" customHeight="1" thickBot="1" x14ac:dyDescent="0.35">
      <c r="E81" s="47"/>
      <c r="F81" s="47"/>
      <c r="G81" s="46"/>
      <c r="S81" s="38"/>
      <c r="T81" s="38"/>
      <c r="U81" s="38"/>
    </row>
    <row r="82" spans="3:36" ht="15.75" customHeight="1" thickBot="1" x14ac:dyDescent="0.4">
      <c r="C82" s="373" t="s">
        <v>466</v>
      </c>
      <c r="D82" s="329" t="s">
        <v>467</v>
      </c>
      <c r="E82" s="309">
        <v>1</v>
      </c>
      <c r="F82" s="41" t="s">
        <v>468</v>
      </c>
      <c r="G82" s="316" t="s">
        <v>469</v>
      </c>
      <c r="I82" s="38"/>
      <c r="K82" s="139" t="b">
        <f>IF(L79&lt;=30, TRUE, FALSE)</f>
        <v>1</v>
      </c>
      <c r="M82" s="3"/>
      <c r="O82" s="47"/>
      <c r="S82" s="38"/>
      <c r="T82" s="38"/>
      <c r="U82" s="38"/>
    </row>
    <row r="83" spans="3:36" ht="15.75" customHeight="1" x14ac:dyDescent="0.35">
      <c r="C83" s="373"/>
      <c r="D83" s="308"/>
      <c r="E83" s="47"/>
      <c r="F83" s="41"/>
      <c r="G83" s="30"/>
      <c r="I83" s="3"/>
      <c r="K83" s="97"/>
      <c r="M83" s="3"/>
      <c r="S83" s="38"/>
      <c r="T83" s="38"/>
      <c r="U83" s="38"/>
    </row>
    <row r="84" spans="3:36" ht="15.75" customHeight="1" x14ac:dyDescent="0.35">
      <c r="C84" s="373"/>
      <c r="D84" s="308"/>
      <c r="E84" s="47"/>
      <c r="F84" s="41"/>
      <c r="G84" s="30"/>
      <c r="I84" s="3"/>
      <c r="K84" s="97"/>
      <c r="M84" s="3"/>
      <c r="S84" s="38"/>
      <c r="T84" s="38"/>
      <c r="U84" s="38"/>
    </row>
    <row r="85" spans="3:36" ht="15.75" customHeight="1" thickBot="1" x14ac:dyDescent="0.4">
      <c r="C85" s="373"/>
      <c r="D85" s="308"/>
      <c r="F85" s="41"/>
      <c r="G85" s="30"/>
      <c r="I85" s="3"/>
      <c r="K85" s="97"/>
      <c r="M85" s="3"/>
      <c r="S85" s="7"/>
    </row>
    <row r="86" spans="3:36" ht="15.65" customHeight="1" thickBot="1" x14ac:dyDescent="0.4">
      <c r="C86" s="373" t="s">
        <v>470</v>
      </c>
      <c r="D86" s="329" t="s">
        <v>471</v>
      </c>
      <c r="F86" s="3" t="s">
        <v>472</v>
      </c>
      <c r="G86" s="43" t="s">
        <v>473</v>
      </c>
      <c r="I86" s="50"/>
      <c r="K86" s="140" t="b">
        <f>IF(AND(E88&gt;30,E88&lt;70), TRUE,FALSE)</f>
        <v>0</v>
      </c>
      <c r="M86" s="50"/>
    </row>
    <row r="87" spans="3:36" ht="15.75" customHeight="1" x14ac:dyDescent="0.35">
      <c r="C87" s="373"/>
      <c r="D87" s="308"/>
      <c r="E87" s="42"/>
      <c r="G87" s="30"/>
      <c r="H87" s="40"/>
      <c r="I87" s="50"/>
      <c r="K87" s="322"/>
      <c r="M87" s="50"/>
      <c r="T87" s="458"/>
    </row>
    <row r="88" spans="3:36" ht="15.75" customHeight="1" x14ac:dyDescent="0.35">
      <c r="C88" s="380"/>
      <c r="D88" s="534" t="s">
        <v>463</v>
      </c>
      <c r="E88" s="40">
        <f>(70 -L79)/40</f>
        <v>1.2927449113607286</v>
      </c>
      <c r="F88" s="533" t="s">
        <v>474</v>
      </c>
      <c r="G88" s="109"/>
      <c r="H88" s="3"/>
      <c r="I88" s="3"/>
      <c r="K88" s="125"/>
      <c r="M88" s="3"/>
      <c r="T88" s="458"/>
    </row>
    <row r="89" spans="3:36" ht="15.75" customHeight="1" thickBot="1" x14ac:dyDescent="0.4">
      <c r="C89" s="373"/>
      <c r="D89" s="308"/>
      <c r="G89" s="109"/>
      <c r="H89" s="3"/>
      <c r="I89" s="3"/>
      <c r="K89" s="125"/>
      <c r="M89" s="3"/>
      <c r="R89" s="3"/>
      <c r="T89" s="458"/>
    </row>
    <row r="90" spans="3:36" ht="17.25" customHeight="1" thickBot="1" x14ac:dyDescent="0.4">
      <c r="C90" s="373" t="s">
        <v>475</v>
      </c>
      <c r="D90" s="329" t="s">
        <v>476</v>
      </c>
      <c r="E90" s="43">
        <v>0</v>
      </c>
      <c r="F90" s="109" t="s">
        <v>468</v>
      </c>
      <c r="G90" s="97" t="s">
        <v>477</v>
      </c>
      <c r="I90" s="50"/>
      <c r="K90" s="140" t="b">
        <f>IF(L79&gt;70,TRUE,FALSE)</f>
        <v>0</v>
      </c>
      <c r="M90" s="50"/>
      <c r="Q90" s="282"/>
      <c r="R90" s="3"/>
      <c r="T90" s="458"/>
    </row>
    <row r="91" spans="3:36" ht="15.75" customHeight="1" x14ac:dyDescent="0.3">
      <c r="F91" s="97"/>
      <c r="G91" s="4"/>
      <c r="N91" s="126"/>
      <c r="Q91" s="282"/>
      <c r="R91" s="3"/>
      <c r="T91" s="458"/>
    </row>
    <row r="92" spans="3:36" ht="15.75" hidden="1" customHeight="1" x14ac:dyDescent="0.3">
      <c r="F92" s="44"/>
      <c r="G92" s="4"/>
      <c r="I92" s="126"/>
      <c r="Q92" s="282"/>
      <c r="R92" s="3"/>
      <c r="T92" s="458"/>
    </row>
    <row r="93" spans="3:36" ht="15.75" hidden="1" customHeight="1" x14ac:dyDescent="0.3">
      <c r="K93" s="506" t="s">
        <v>478</v>
      </c>
      <c r="L93" s="298" t="s">
        <v>422</v>
      </c>
      <c r="M93" s="313">
        <f>IF(K82=TRUE, 1, IF(K86=TRUE, 1, IF(K90=TRUE, 0)))</f>
        <v>1</v>
      </c>
      <c r="Q93" s="281"/>
      <c r="R93" s="517"/>
      <c r="AA93" s="3"/>
      <c r="AJ93" s="2"/>
    </row>
    <row r="94" spans="3:36" ht="15.65" hidden="1" customHeight="1" x14ac:dyDescent="0.35">
      <c r="I94" s="42"/>
      <c r="K94" s="38"/>
      <c r="Q94" s="456"/>
      <c r="R94" s="50"/>
      <c r="S94" s="38"/>
    </row>
    <row r="95" spans="3:36" ht="15.65" hidden="1" customHeight="1" x14ac:dyDescent="0.3">
      <c r="C95" s="52" t="s">
        <v>479</v>
      </c>
      <c r="D95" s="52"/>
      <c r="E95" s="52"/>
      <c r="F95" s="52"/>
      <c r="G95" s="52"/>
      <c r="Q95" s="281"/>
      <c r="R95" s="517"/>
    </row>
    <row r="96" spans="3:36" ht="15.65" hidden="1" customHeight="1" x14ac:dyDescent="0.3">
      <c r="C96" s="52" t="s">
        <v>428</v>
      </c>
      <c r="K96" s="38"/>
      <c r="Q96" s="457"/>
      <c r="R96" s="38"/>
      <c r="S96" s="38"/>
    </row>
    <row r="97" spans="1:42" ht="15.65" hidden="1" customHeight="1" x14ac:dyDescent="0.3">
      <c r="E97" s="28"/>
      <c r="F97" s="28"/>
      <c r="G97" s="28"/>
      <c r="H97" s="28"/>
      <c r="I97" s="28"/>
      <c r="K97" s="316"/>
      <c r="L97" s="28"/>
      <c r="M97" s="28"/>
      <c r="Q97" s="455"/>
      <c r="R97" s="38"/>
    </row>
    <row r="98" spans="1:42" ht="15.65" hidden="1" customHeight="1" x14ac:dyDescent="0.35">
      <c r="C98" s="104" t="s">
        <v>480</v>
      </c>
      <c r="D98" s="508" t="s">
        <v>481</v>
      </c>
      <c r="E98" s="288">
        <v>1</v>
      </c>
      <c r="G98" s="317" t="str">
        <f>IF(E98 = 1, "Snow Load is uniform", "Non-uniform snow load, try case a)")</f>
        <v>Snow Load is uniform</v>
      </c>
      <c r="H98" s="318"/>
      <c r="K98" s="505" t="s">
        <v>482</v>
      </c>
      <c r="L98" s="298" t="s">
        <v>422</v>
      </c>
      <c r="M98" s="313">
        <v>1</v>
      </c>
      <c r="Q98" s="38"/>
      <c r="R98" s="38"/>
      <c r="S98" s="38"/>
    </row>
    <row r="99" spans="1:42" ht="15.65" hidden="1" customHeight="1" x14ac:dyDescent="0.3">
      <c r="N99" s="2"/>
      <c r="Q99" s="38"/>
      <c r="R99" s="38"/>
      <c r="S99" s="38"/>
    </row>
    <row r="100" spans="1:42" ht="15.65" hidden="1" customHeight="1" x14ac:dyDescent="0.3">
      <c r="C100" s="2" t="s">
        <v>483</v>
      </c>
      <c r="H100" s="493"/>
      <c r="N100" s="2"/>
      <c r="Q100" s="38"/>
      <c r="R100" s="38"/>
      <c r="S100" s="38"/>
    </row>
    <row r="101" spans="1:42" ht="15.65" hidden="1" customHeight="1" x14ac:dyDescent="0.3">
      <c r="E101" s="2" t="s">
        <v>484</v>
      </c>
      <c r="H101" s="494"/>
      <c r="N101" s="2"/>
      <c r="S101" s="38"/>
    </row>
    <row r="102" spans="1:42" ht="15.65" hidden="1" customHeight="1" x14ac:dyDescent="0.3">
      <c r="H102" s="494"/>
      <c r="N102" s="2"/>
      <c r="Q102" s="38"/>
      <c r="R102" s="38"/>
      <c r="T102" s="458"/>
    </row>
    <row r="103" spans="1:42" ht="15.65" hidden="1" customHeight="1" x14ac:dyDescent="0.3">
      <c r="E103" s="2" t="s">
        <v>485</v>
      </c>
      <c r="H103" s="494"/>
      <c r="N103" s="57" t="s">
        <v>486</v>
      </c>
      <c r="Q103" s="54"/>
      <c r="R103" s="55"/>
      <c r="T103" s="458"/>
    </row>
    <row r="104" spans="1:42" ht="15.65" hidden="1" customHeight="1" x14ac:dyDescent="0.3">
      <c r="H104" s="494"/>
      <c r="N104" s="2"/>
      <c r="Q104" s="38"/>
      <c r="R104" s="38"/>
      <c r="T104" s="458"/>
    </row>
    <row r="105" spans="1:42" ht="15.65" hidden="1" customHeight="1" x14ac:dyDescent="0.3">
      <c r="E105" s="2" t="s">
        <v>487</v>
      </c>
      <c r="H105" s="494"/>
      <c r="N105" s="56" t="s">
        <v>389</v>
      </c>
      <c r="Q105" s="55"/>
      <c r="R105" s="55"/>
      <c r="T105" s="458"/>
    </row>
    <row r="106" spans="1:42" ht="15.75" hidden="1" customHeight="1" x14ac:dyDescent="0.3">
      <c r="H106" s="494"/>
      <c r="N106" s="2"/>
      <c r="Q106" s="38"/>
      <c r="R106" s="38"/>
      <c r="T106" s="458"/>
    </row>
    <row r="107" spans="1:42" ht="15.75" customHeight="1" thickBot="1" x14ac:dyDescent="0.4">
      <c r="E107" s="150" t="s">
        <v>488</v>
      </c>
      <c r="F107" s="150"/>
      <c r="G107" s="150"/>
      <c r="H107" s="949"/>
      <c r="I107" s="150"/>
      <c r="N107" s="2"/>
      <c r="Q107" s="54"/>
      <c r="R107" s="38"/>
      <c r="S107" s="511"/>
      <c r="T107" s="458"/>
      <c r="U107" s="7"/>
    </row>
    <row r="108" spans="1:42" ht="15.75" customHeight="1" thickBot="1" x14ac:dyDescent="0.4">
      <c r="E108" s="150"/>
      <c r="F108" s="150"/>
      <c r="G108" s="150"/>
      <c r="H108" s="949"/>
      <c r="I108" s="150"/>
      <c r="K108" s="506" t="s">
        <v>3348</v>
      </c>
      <c r="L108" s="298" t="s">
        <v>422</v>
      </c>
      <c r="M108" s="313">
        <f>IF(K82=TRUE, 1, IF(K86=TRUE, 1, IF(K90=TRUE, 0)))</f>
        <v>1</v>
      </c>
      <c r="N108" s="2"/>
      <c r="Q108" s="38"/>
      <c r="R108" s="38"/>
      <c r="S108" s="511"/>
      <c r="T108" s="458"/>
      <c r="U108" s="7"/>
    </row>
    <row r="109" spans="1:42" ht="21" customHeight="1" x14ac:dyDescent="0.3">
      <c r="E109" s="150" t="s">
        <v>489</v>
      </c>
      <c r="F109" s="150"/>
      <c r="G109" s="150"/>
      <c r="H109" s="949"/>
      <c r="I109" s="150"/>
      <c r="N109" s="2"/>
      <c r="Q109" s="38"/>
      <c r="R109" s="38"/>
    </row>
    <row r="110" spans="1:42" ht="15.75" customHeight="1" x14ac:dyDescent="0.35">
      <c r="E110" s="150"/>
      <c r="F110" s="150"/>
      <c r="G110" s="150"/>
      <c r="H110" s="949"/>
      <c r="I110" s="150"/>
      <c r="N110" s="2"/>
      <c r="Q110" s="38"/>
      <c r="R110" s="38"/>
      <c r="S110" s="41"/>
      <c r="T110" s="41"/>
      <c r="U110" s="41"/>
      <c r="W110" s="458"/>
    </row>
    <row r="111" spans="1:42" ht="15.75" customHeight="1" x14ac:dyDescent="0.3">
      <c r="E111" s="150" t="s">
        <v>490</v>
      </c>
      <c r="F111" s="150"/>
      <c r="G111" s="150"/>
      <c r="H111" s="949"/>
      <c r="I111" s="150"/>
      <c r="N111" s="2"/>
      <c r="Q111" s="38"/>
      <c r="R111" s="38"/>
    </row>
    <row r="112" spans="1:42" s="28" customFormat="1" ht="21" customHeight="1" x14ac:dyDescent="0.3">
      <c r="A112" s="2"/>
      <c r="B112" s="2"/>
      <c r="C112" s="2"/>
      <c r="D112" s="2"/>
      <c r="E112" s="150" t="s">
        <v>491</v>
      </c>
      <c r="F112" s="150"/>
      <c r="G112" s="150"/>
      <c r="H112" s="949"/>
      <c r="I112" s="150"/>
      <c r="J112" s="2"/>
      <c r="K112" s="2"/>
      <c r="L112" s="2"/>
      <c r="M112" s="2"/>
      <c r="N112" s="2"/>
      <c r="O112" s="2"/>
      <c r="P112" s="2"/>
      <c r="Q112" s="38"/>
      <c r="R112" s="38"/>
      <c r="S112" s="2"/>
      <c r="T112" s="2"/>
      <c r="U112" s="2"/>
      <c r="AJ112" s="30"/>
      <c r="AK112" s="30"/>
      <c r="AL112" s="30"/>
      <c r="AM112" s="30"/>
      <c r="AN112" s="30"/>
      <c r="AO112" s="30"/>
      <c r="AP112" s="30"/>
    </row>
    <row r="113" spans="1:21" ht="15.75" customHeight="1" x14ac:dyDescent="0.3">
      <c r="E113" s="150"/>
      <c r="F113" s="150"/>
      <c r="G113" s="150"/>
      <c r="H113" s="949"/>
      <c r="I113" s="150"/>
      <c r="N113" s="2"/>
      <c r="S113" s="34"/>
      <c r="T113" s="34"/>
      <c r="U113" s="34"/>
    </row>
    <row r="114" spans="1:21" ht="15.75" customHeight="1" x14ac:dyDescent="0.35">
      <c r="B114" s="2" t="s">
        <v>492</v>
      </c>
      <c r="E114" s="150" t="s">
        <v>493</v>
      </c>
      <c r="F114" s="150"/>
      <c r="G114" s="150"/>
      <c r="H114" s="949"/>
      <c r="I114" s="150"/>
      <c r="N114" s="48"/>
      <c r="O114" s="3"/>
      <c r="Q114" s="38"/>
      <c r="R114" s="38"/>
    </row>
    <row r="115" spans="1:21" ht="15.75" customHeight="1" x14ac:dyDescent="0.35">
      <c r="H115" s="271"/>
      <c r="N115" s="48"/>
      <c r="O115" s="3"/>
      <c r="R115" s="511"/>
    </row>
    <row r="116" spans="1:21" ht="16.5" customHeight="1" thickBot="1" x14ac:dyDescent="0.4">
      <c r="G116" s="280"/>
      <c r="H116" s="271"/>
      <c r="N116" s="48"/>
      <c r="O116" s="3"/>
      <c r="R116" s="511"/>
    </row>
    <row r="117" spans="1:21" ht="16.5" customHeight="1" thickBot="1" x14ac:dyDescent="0.45">
      <c r="D117" s="118"/>
      <c r="E117" s="474" t="s">
        <v>494</v>
      </c>
      <c r="F117" s="475"/>
      <c r="G117" s="495"/>
      <c r="H117" s="496"/>
      <c r="K117" s="507" t="s">
        <v>63</v>
      </c>
      <c r="L117" s="300" t="s">
        <v>422</v>
      </c>
      <c r="M117" s="299">
        <f>L41*(L43*(M58*H70*M107*M98)+L44)</f>
        <v>0.1</v>
      </c>
      <c r="N117" s="335" t="s">
        <v>366</v>
      </c>
      <c r="O117" s="509" t="str">
        <f>IF(L44 &lt;= L43*(M58*H70*M93*M98),"O.K.","CHECK")</f>
        <v>CHECK</v>
      </c>
    </row>
    <row r="118" spans="1:21" ht="15.75" customHeight="1" x14ac:dyDescent="0.3">
      <c r="F118" s="5"/>
      <c r="H118" s="271"/>
      <c r="R118" s="195"/>
    </row>
    <row r="119" spans="1:21" ht="18.75" customHeight="1" x14ac:dyDescent="0.3"/>
    <row r="120" spans="1:21" ht="15.75" customHeight="1" x14ac:dyDescent="0.3"/>
    <row r="121" spans="1:21" ht="15.75" customHeight="1" x14ac:dyDescent="0.3">
      <c r="B121" s="675" t="s">
        <v>495</v>
      </c>
      <c r="C121" s="676"/>
      <c r="D121" s="676"/>
      <c r="E121" s="676"/>
      <c r="F121" s="676"/>
      <c r="G121" s="676"/>
      <c r="H121" s="301"/>
      <c r="I121" s="28"/>
      <c r="J121" s="28"/>
      <c r="K121" s="28"/>
      <c r="R121" s="28"/>
    </row>
    <row r="122" spans="1:21" ht="15.75" customHeight="1" x14ac:dyDescent="0.35">
      <c r="A122" s="28"/>
      <c r="B122" s="675" t="s">
        <v>68</v>
      </c>
      <c r="C122" s="676"/>
      <c r="D122" s="676"/>
      <c r="E122" s="676"/>
      <c r="F122" s="676"/>
      <c r="G122" s="676"/>
      <c r="H122" s="49"/>
    </row>
    <row r="123" spans="1:21" ht="15.75" customHeight="1" thickBot="1" x14ac:dyDescent="0.35">
      <c r="A123" s="28"/>
      <c r="B123" s="32"/>
      <c r="C123" s="28"/>
      <c r="D123" s="28"/>
      <c r="E123" s="28"/>
      <c r="F123" s="28"/>
      <c r="G123" s="28"/>
    </row>
    <row r="124" spans="1:21" ht="19.5" customHeight="1" thickBot="1" x14ac:dyDescent="0.4">
      <c r="A124" s="28"/>
      <c r="B124" s="1118" t="s">
        <v>496</v>
      </c>
      <c r="C124" s="1109"/>
      <c r="D124" s="1109"/>
      <c r="E124" s="1109"/>
      <c r="F124" s="1110"/>
      <c r="I124" s="27"/>
    </row>
    <row r="125" spans="1:21" ht="15.75" customHeight="1" thickBot="1" x14ac:dyDescent="0.4">
      <c r="A125" s="28"/>
      <c r="H125" s="27"/>
      <c r="M125" s="30"/>
    </row>
    <row r="126" spans="1:21" ht="15.75" customHeight="1" thickBot="1" x14ac:dyDescent="0.4">
      <c r="A126" s="28"/>
      <c r="B126" s="1122" t="s">
        <v>415</v>
      </c>
      <c r="C126" s="1098"/>
      <c r="D126" s="1098"/>
      <c r="E126" s="1098"/>
      <c r="F126" s="28"/>
      <c r="G126" s="28"/>
      <c r="K126" s="488" t="s">
        <v>416</v>
      </c>
      <c r="M126" s="30"/>
      <c r="N126" s="111" t="s">
        <v>497</v>
      </c>
      <c r="O126" s="369"/>
      <c r="P126" s="489"/>
    </row>
    <row r="127" spans="1:21" ht="15.75" customHeight="1" thickBot="1" x14ac:dyDescent="0.4">
      <c r="B127" s="1121" t="s">
        <v>498</v>
      </c>
      <c r="C127" s="1098"/>
      <c r="D127" s="1098"/>
      <c r="E127" s="1098"/>
      <c r="K127" s="487" t="s">
        <v>419</v>
      </c>
      <c r="M127" s="30"/>
      <c r="N127" s="286"/>
      <c r="O127" s="286"/>
      <c r="P127" s="286"/>
    </row>
    <row r="128" spans="1:21" ht="15.75" customHeight="1" thickBot="1" x14ac:dyDescent="0.4">
      <c r="B128" s="104"/>
      <c r="C128" s="144"/>
      <c r="D128" s="144"/>
      <c r="E128" s="144"/>
      <c r="J128" s="221"/>
      <c r="K128" s="293"/>
      <c r="M128" s="30"/>
      <c r="N128" s="286"/>
      <c r="O128" s="286"/>
      <c r="P128" s="286"/>
    </row>
    <row r="129" spans="2:50" ht="17.25" customHeight="1" thickBot="1" x14ac:dyDescent="0.4">
      <c r="B129" s="104" t="s">
        <v>499</v>
      </c>
      <c r="C129" s="104"/>
      <c r="D129" s="104"/>
      <c r="E129" s="104"/>
      <c r="J129" s="283" t="s">
        <v>500</v>
      </c>
      <c r="K129" s="291" t="s">
        <v>422</v>
      </c>
      <c r="L129" s="292">
        <f>IF(K126="SLS",0.75,
IF(K126="ULS",
IF(K127="Low",0.8,
IF(K127="Normal",1,
IF(K127="High",1.15,
IF(K127="Post-Disaster",1.25,"")))),
""))</f>
        <v>1</v>
      </c>
      <c r="N129" s="111" t="s">
        <v>501</v>
      </c>
      <c r="O129" s="111"/>
      <c r="P129" s="286"/>
    </row>
    <row r="130" spans="2:50" ht="15.65" customHeight="1" x14ac:dyDescent="0.3">
      <c r="M130" s="127"/>
      <c r="N130" s="286"/>
      <c r="O130" s="286"/>
      <c r="P130" s="286"/>
    </row>
    <row r="131" spans="2:50" ht="14.5" customHeight="1" x14ac:dyDescent="0.3">
      <c r="B131" s="42"/>
      <c r="C131" s="42"/>
      <c r="D131" s="42"/>
      <c r="E131" s="42"/>
      <c r="M131" s="127"/>
      <c r="N131" s="286"/>
      <c r="O131" s="286"/>
      <c r="P131" s="286"/>
    </row>
    <row r="132" spans="2:50" ht="22.5" customHeight="1" x14ac:dyDescent="0.4">
      <c r="B132" s="375" t="s">
        <v>502</v>
      </c>
      <c r="C132" s="374"/>
      <c r="D132" s="374"/>
      <c r="E132" s="374"/>
      <c r="J132" s="466" t="s">
        <v>503</v>
      </c>
      <c r="K132" s="987"/>
      <c r="L132" s="467"/>
      <c r="M132" s="290"/>
      <c r="N132" s="4"/>
      <c r="O132" s="286"/>
      <c r="P132" s="286"/>
    </row>
    <row r="133" spans="2:50" ht="22.5" customHeight="1" x14ac:dyDescent="0.35">
      <c r="M133" s="123"/>
      <c r="N133" s="286"/>
      <c r="O133" s="286"/>
      <c r="P133" s="286"/>
    </row>
    <row r="134" spans="2:50" ht="15.75" customHeight="1" thickBot="1" x14ac:dyDescent="0.4">
      <c r="M134" s="123"/>
      <c r="N134" s="286"/>
      <c r="O134" s="286"/>
      <c r="P134" s="286"/>
      <c r="V134" s="33"/>
    </row>
    <row r="135" spans="2:50" ht="15.75" customHeight="1" thickBot="1" x14ac:dyDescent="0.4">
      <c r="B135" s="104" t="s">
        <v>504</v>
      </c>
      <c r="C135" s="104"/>
      <c r="D135" s="104"/>
      <c r="J135" s="284" t="s">
        <v>505</v>
      </c>
      <c r="K135" s="285" t="s">
        <v>422</v>
      </c>
      <c r="L135" s="295">
        <v>1.2928999999999999</v>
      </c>
      <c r="M135" s="294" t="s">
        <v>506</v>
      </c>
      <c r="N135" s="286"/>
      <c r="O135" s="286"/>
      <c r="P135" s="286"/>
      <c r="T135" s="38"/>
      <c r="V135" s="33"/>
    </row>
    <row r="136" spans="2:50" ht="15.75" customHeight="1" x14ac:dyDescent="0.35">
      <c r="B136" s="104"/>
      <c r="C136" s="104"/>
      <c r="D136" s="104"/>
      <c r="N136" s="286"/>
      <c r="O136" s="286"/>
      <c r="P136" s="286"/>
      <c r="V136" s="33"/>
    </row>
    <row r="137" spans="2:50" ht="15.75" customHeight="1" x14ac:dyDescent="0.35">
      <c r="B137" s="104" t="s">
        <v>507</v>
      </c>
      <c r="C137" s="104"/>
      <c r="D137" s="104"/>
      <c r="F137" s="161"/>
      <c r="N137" s="111" t="s">
        <v>511</v>
      </c>
      <c r="O137" s="497"/>
      <c r="P137" s="497"/>
      <c r="Q137" s="4"/>
      <c r="V137" s="33"/>
    </row>
    <row r="138" spans="2:50" ht="15.75" customHeight="1" thickBot="1" x14ac:dyDescent="0.4">
      <c r="B138" s="104"/>
      <c r="C138" s="104"/>
      <c r="D138" s="104"/>
      <c r="N138" s="67"/>
      <c r="O138" s="358" t="s">
        <v>513</v>
      </c>
      <c r="P138" s="341"/>
      <c r="Q138" s="123"/>
    </row>
    <row r="139" spans="2:50" ht="15.75" customHeight="1" thickBot="1" x14ac:dyDescent="0.4">
      <c r="B139" s="104" t="s">
        <v>512</v>
      </c>
      <c r="C139" s="104"/>
      <c r="D139" s="104"/>
      <c r="H139" s="477" t="s">
        <v>508</v>
      </c>
      <c r="J139" s="499" t="s">
        <v>516</v>
      </c>
      <c r="K139" s="315" t="s">
        <v>422</v>
      </c>
      <c r="L139" s="268">
        <f>IF( H139="(1/10 years)",V20,
IF(H139="(1/50 years)",W20))</f>
        <v>0.35</v>
      </c>
      <c r="M139" s="294" t="s">
        <v>366</v>
      </c>
      <c r="N139" s="40"/>
      <c r="P139" s="289" t="s">
        <v>514</v>
      </c>
      <c r="Q139" s="40"/>
      <c r="R139" s="42"/>
    </row>
    <row r="140" spans="2:50" ht="15.75" customHeight="1" x14ac:dyDescent="0.35">
      <c r="B140" s="104"/>
      <c r="C140" s="104"/>
      <c r="D140" s="104"/>
      <c r="N140" s="2"/>
      <c r="O140" s="97"/>
      <c r="P140" s="988" t="s">
        <v>3336</v>
      </c>
      <c r="R140" s="38"/>
    </row>
    <row r="141" spans="2:50" ht="15.75" customHeight="1" x14ac:dyDescent="0.35">
      <c r="B141" s="104"/>
      <c r="C141" s="104"/>
      <c r="D141" s="104"/>
      <c r="J141" s="990" t="s">
        <v>3339</v>
      </c>
      <c r="K141" s="992" t="s">
        <v>650</v>
      </c>
      <c r="L141" s="991" t="s">
        <v>3338</v>
      </c>
      <c r="M141" s="222"/>
      <c r="N141" s="2"/>
      <c r="O141" s="97"/>
      <c r="P141" s="184"/>
      <c r="R141" s="38"/>
    </row>
    <row r="142" spans="2:50" ht="15.75" customHeight="1" x14ac:dyDescent="0.35">
      <c r="B142" s="104" t="s">
        <v>515</v>
      </c>
      <c r="C142" s="104"/>
      <c r="D142" s="104"/>
      <c r="N142" s="2"/>
      <c r="P142" s="85" t="s">
        <v>3337</v>
      </c>
      <c r="R142" s="53"/>
    </row>
    <row r="143" spans="2:50" ht="15.65" customHeight="1" x14ac:dyDescent="0.3">
      <c r="K143" s="992" t="s">
        <v>422</v>
      </c>
      <c r="L143" s="30">
        <f>SQRT(L139/0.00064645)</f>
        <v>23.268401675088572</v>
      </c>
      <c r="N143" s="97"/>
      <c r="O143" s="40"/>
      <c r="P143" s="42"/>
      <c r="Q143" s="42"/>
      <c r="R143" s="42"/>
    </row>
    <row r="144" spans="2:50" ht="15.65" customHeight="1" thickBot="1" x14ac:dyDescent="0.4">
      <c r="N144" s="127"/>
      <c r="O144" s="40"/>
      <c r="P144" s="989">
        <f>IF( H139="(1/10 years)",23.9,
IF(H139="(1/50 years)",27.2))</f>
        <v>27.2</v>
      </c>
      <c r="Q144" s="184"/>
      <c r="R144" s="38"/>
      <c r="AI144" s="3" t="s">
        <v>517</v>
      </c>
      <c r="AO144" s="3" t="s">
        <v>518</v>
      </c>
      <c r="AR144" s="657" t="s">
        <v>517</v>
      </c>
      <c r="AS144" s="657"/>
      <c r="AT144" s="657"/>
      <c r="AU144" s="657"/>
      <c r="AV144" s="657"/>
      <c r="AW144" s="657"/>
      <c r="AX144" s="657" t="s">
        <v>518</v>
      </c>
    </row>
    <row r="145" spans="2:50" ht="15.75" customHeight="1" thickBot="1" x14ac:dyDescent="0.4">
      <c r="B145" s="476" t="s">
        <v>519</v>
      </c>
      <c r="C145" s="105"/>
      <c r="D145" s="105"/>
      <c r="E145" s="105"/>
      <c r="J145" s="297" t="s">
        <v>509</v>
      </c>
      <c r="K145" s="285" t="s">
        <v>422</v>
      </c>
      <c r="L145" s="498">
        <f>IF( H139="(1/10 years)",23.9,
IF(H139="(1/50 years)",27.2))</f>
        <v>27.2</v>
      </c>
      <c r="M145" s="335" t="s">
        <v>510</v>
      </c>
      <c r="N145" s="127"/>
      <c r="O145" s="40"/>
      <c r="P145" s="38"/>
      <c r="Q145" s="184"/>
      <c r="R145" s="38"/>
      <c r="AI145" s="760" t="s">
        <v>520</v>
      </c>
      <c r="AJ145" s="760" t="s">
        <v>422</v>
      </c>
      <c r="AK145" s="760" t="s">
        <v>521</v>
      </c>
      <c r="AL145" s="761">
        <f>(D149/10)^0.2</f>
        <v>1.0518149211612278</v>
      </c>
      <c r="AM145" s="762" t="s">
        <v>522</v>
      </c>
      <c r="AN145" s="760">
        <v>0.9</v>
      </c>
      <c r="AO145" s="761">
        <f>MAX(AL145,AN145)</f>
        <v>1.0518149211612278</v>
      </c>
      <c r="AR145" s="657" t="s">
        <v>520</v>
      </c>
      <c r="AS145" s="657" t="s">
        <v>422</v>
      </c>
      <c r="AT145" s="657" t="s">
        <v>521</v>
      </c>
      <c r="AU145" s="658">
        <f>(D149/10)^0.2</f>
        <v>1.0518149211612278</v>
      </c>
      <c r="AV145" s="659" t="s">
        <v>522</v>
      </c>
      <c r="AW145" s="657">
        <v>0.9</v>
      </c>
      <c r="AX145" s="658">
        <f>MAX(AU145,AW145)</f>
        <v>1.0518149211612278</v>
      </c>
    </row>
    <row r="146" spans="2:50" ht="15.75" customHeight="1" x14ac:dyDescent="0.35">
      <c r="B146" s="70" t="s">
        <v>3354</v>
      </c>
      <c r="C146" s="49"/>
      <c r="D146" s="49"/>
      <c r="E146" s="49"/>
      <c r="N146" s="2"/>
      <c r="R146" s="59"/>
      <c r="AI146" s="760" t="s">
        <v>523</v>
      </c>
      <c r="AJ146" s="760" t="s">
        <v>422</v>
      </c>
      <c r="AK146" s="760" t="s">
        <v>524</v>
      </c>
      <c r="AL146" s="761">
        <f>(0.7*(D149/12)^0.3)</f>
        <v>0.71491211608965322</v>
      </c>
      <c r="AM146" s="762" t="s">
        <v>522</v>
      </c>
      <c r="AN146" s="760">
        <v>0.7</v>
      </c>
      <c r="AO146" s="761">
        <f>MAX(AL146,AN146)</f>
        <v>0.71491211608965322</v>
      </c>
      <c r="AR146" s="657" t="s">
        <v>523</v>
      </c>
      <c r="AS146" s="657" t="s">
        <v>422</v>
      </c>
      <c r="AT146" s="657" t="s">
        <v>524</v>
      </c>
      <c r="AU146" s="658">
        <f>(0.7*(D149/12)^0.3)</f>
        <v>0.71491211608965322</v>
      </c>
      <c r="AV146" s="659" t="s">
        <v>522</v>
      </c>
      <c r="AW146" s="657">
        <v>0.7</v>
      </c>
      <c r="AX146" s="658">
        <f>MAX(AU146,AW146)</f>
        <v>0.71491211608965322</v>
      </c>
    </row>
    <row r="147" spans="2:50" ht="15.75" customHeight="1" x14ac:dyDescent="0.35">
      <c r="B147" s="70"/>
      <c r="C147" s="49"/>
      <c r="D147" s="49"/>
      <c r="E147" s="49"/>
      <c r="N147" s="2"/>
      <c r="R147" s="59"/>
    </row>
    <row r="148" spans="2:50" ht="15.75" customHeight="1" x14ac:dyDescent="0.3">
      <c r="B148" s="52"/>
      <c r="C148" s="127" t="s">
        <v>525</v>
      </c>
      <c r="D148" s="59">
        <f>L15</f>
        <v>11.4</v>
      </c>
      <c r="E148" s="307" t="s">
        <v>392</v>
      </c>
      <c r="N148" s="2"/>
      <c r="R148" s="59"/>
      <c r="T148" s="39"/>
      <c r="U148" s="39"/>
    </row>
    <row r="149" spans="2:50" ht="15.75" customHeight="1" x14ac:dyDescent="0.45">
      <c r="B149" s="52"/>
      <c r="C149" s="305" t="s">
        <v>399</v>
      </c>
      <c r="D149" s="306">
        <f>I15</f>
        <v>12.8735</v>
      </c>
      <c r="E149" s="123" t="s">
        <v>392</v>
      </c>
      <c r="N149" s="2"/>
      <c r="R149" s="59"/>
      <c r="T149" s="39"/>
      <c r="U149" s="39"/>
      <c r="AS149" s="324"/>
      <c r="AT149" s="325"/>
      <c r="AU149" s="326" t="s">
        <v>526</v>
      </c>
      <c r="AV149" s="326"/>
      <c r="AW149" s="325"/>
      <c r="AX149" s="327"/>
    </row>
    <row r="150" spans="2:50" ht="15.75" customHeight="1" thickBot="1" x14ac:dyDescent="0.5">
      <c r="B150" s="52"/>
      <c r="N150" s="2"/>
      <c r="R150" s="59"/>
      <c r="T150" s="39"/>
      <c r="U150" s="39"/>
      <c r="AS150" s="324"/>
      <c r="AT150" s="326" t="s">
        <v>527</v>
      </c>
      <c r="AU150" s="326"/>
      <c r="AV150" s="326"/>
      <c r="AW150" s="325"/>
      <c r="AX150" s="327"/>
    </row>
    <row r="151" spans="2:50" ht="15.75" customHeight="1" thickBot="1" x14ac:dyDescent="0.4">
      <c r="C151" s="2" t="s">
        <v>528</v>
      </c>
      <c r="H151" s="1119" t="b">
        <f>(AND(D149&lt;=20,D149&lt;F15))</f>
        <v>1</v>
      </c>
      <c r="I151" s="1120"/>
      <c r="N151" s="109"/>
      <c r="O151" s="3"/>
      <c r="P151" s="8"/>
      <c r="Q151" s="8"/>
      <c r="R151" s="8"/>
      <c r="T151" s="39"/>
      <c r="U151" s="39"/>
      <c r="AS151" s="449" t="s">
        <v>529</v>
      </c>
      <c r="AT151" s="449" t="s">
        <v>530</v>
      </c>
      <c r="AU151" s="449" t="s">
        <v>531</v>
      </c>
      <c r="AV151" s="449" t="s">
        <v>532</v>
      </c>
      <c r="AW151" s="449" t="s">
        <v>533</v>
      </c>
      <c r="AX151" s="449" t="s">
        <v>534</v>
      </c>
    </row>
    <row r="152" spans="2:50" ht="15.75" customHeight="1" x14ac:dyDescent="0.3">
      <c r="H152" s="51"/>
      <c r="N152" s="109"/>
      <c r="O152" s="3"/>
      <c r="Q152" s="8"/>
      <c r="R152" s="8"/>
      <c r="T152" s="39"/>
      <c r="U152" s="39"/>
      <c r="AS152" s="450">
        <v>1</v>
      </c>
      <c r="AT152" s="450">
        <v>0.75</v>
      </c>
      <c r="AU152" s="450">
        <v>1</v>
      </c>
      <c r="AV152" s="450">
        <v>1.05</v>
      </c>
      <c r="AW152" s="450">
        <v>1.05</v>
      </c>
      <c r="AX152" s="450">
        <v>-0.85</v>
      </c>
    </row>
    <row r="153" spans="2:50" ht="21" customHeight="1" thickBot="1" x14ac:dyDescent="0.35">
      <c r="C153" s="4"/>
      <c r="N153" s="109"/>
      <c r="O153" s="3"/>
      <c r="Q153" s="8"/>
      <c r="R153" s="8"/>
      <c r="T153" s="39"/>
      <c r="U153" s="39"/>
      <c r="AJ153" s="2"/>
      <c r="AK153" s="2"/>
      <c r="AL153" s="2"/>
      <c r="AM153" s="2"/>
      <c r="AN153" s="2"/>
      <c r="AO153" s="2"/>
      <c r="AS153" s="450" t="s">
        <v>535</v>
      </c>
      <c r="AT153" s="450">
        <v>1.1499999999999999</v>
      </c>
      <c r="AU153" s="450">
        <v>1.5</v>
      </c>
      <c r="AV153" s="450">
        <v>1.3</v>
      </c>
      <c r="AW153" s="450">
        <v>1.3</v>
      </c>
      <c r="AX153" s="450">
        <v>-0.9</v>
      </c>
    </row>
    <row r="154" spans="2:50" ht="17.25" customHeight="1" thickBot="1" x14ac:dyDescent="0.4">
      <c r="C154" s="2" t="s">
        <v>536</v>
      </c>
      <c r="H154" s="1119" t="b">
        <f>(AND(D149&gt;20,D149&lt;F15))</f>
        <v>0</v>
      </c>
      <c r="I154" s="1120"/>
      <c r="O154" s="3"/>
      <c r="R154" s="8"/>
      <c r="T154" s="39"/>
      <c r="U154" s="39"/>
      <c r="AJ154" s="2"/>
      <c r="AK154" s="2"/>
      <c r="AL154" s="2"/>
      <c r="AM154" s="2"/>
      <c r="AN154" s="2"/>
      <c r="AO154" s="2"/>
      <c r="AS154" s="450">
        <v>2</v>
      </c>
      <c r="AT154" s="450">
        <v>-1.3</v>
      </c>
      <c r="AU154" s="450">
        <v>-1.3</v>
      </c>
      <c r="AV154" s="450">
        <v>0.4</v>
      </c>
      <c r="AW154" s="450">
        <v>1.05</v>
      </c>
      <c r="AX154" s="450">
        <v>-1.3</v>
      </c>
    </row>
    <row r="155" spans="2:50" ht="15.75" customHeight="1" x14ac:dyDescent="0.3">
      <c r="D155" s="2" t="s">
        <v>537</v>
      </c>
      <c r="O155" s="3"/>
      <c r="T155" s="39"/>
      <c r="U155" s="39"/>
      <c r="AJ155" s="2"/>
      <c r="AK155" s="2"/>
      <c r="AL155" s="2"/>
      <c r="AM155" s="2"/>
      <c r="AN155" s="2"/>
      <c r="AO155" s="2"/>
      <c r="AS155" s="450" t="s">
        <v>538</v>
      </c>
      <c r="AT155" s="450">
        <v>-2</v>
      </c>
      <c r="AU155" s="450">
        <v>-2</v>
      </c>
      <c r="AV155" s="450">
        <v>0.5</v>
      </c>
      <c r="AW155" s="450">
        <v>1.3</v>
      </c>
      <c r="AX155" s="450">
        <v>-2</v>
      </c>
    </row>
    <row r="156" spans="2:50" ht="15.75" customHeight="1" x14ac:dyDescent="0.35">
      <c r="D156" s="1117" t="s">
        <v>539</v>
      </c>
      <c r="E156" s="1098"/>
      <c r="F156" s="1098"/>
      <c r="G156" s="222">
        <f>L15</f>
        <v>11.4</v>
      </c>
      <c r="H156" s="123" t="s">
        <v>540</v>
      </c>
      <c r="I156" s="527" t="s">
        <v>541</v>
      </c>
      <c r="J156" s="118">
        <f>L79</f>
        <v>18.290203545570861</v>
      </c>
      <c r="K156" s="528" t="s">
        <v>465</v>
      </c>
      <c r="O156" s="3"/>
      <c r="S156" s="39"/>
      <c r="T156" s="39"/>
      <c r="U156" s="39"/>
      <c r="AJ156" s="2"/>
      <c r="AK156" s="2"/>
      <c r="AL156" s="2"/>
      <c r="AM156" s="2"/>
      <c r="AN156" s="2"/>
      <c r="AO156" s="2"/>
      <c r="AS156" s="450">
        <v>3</v>
      </c>
      <c r="AT156" s="450">
        <v>-0.7</v>
      </c>
      <c r="AU156" s="450">
        <v>-0.9</v>
      </c>
      <c r="AV156" s="450">
        <v>-0.8</v>
      </c>
      <c r="AW156" s="450">
        <v>-0.7</v>
      </c>
      <c r="AX156" s="450">
        <v>-0.7</v>
      </c>
    </row>
    <row r="157" spans="2:50" ht="15.75" customHeight="1" x14ac:dyDescent="0.3">
      <c r="D157" s="99"/>
      <c r="E157" s="99"/>
      <c r="O157" s="3"/>
      <c r="S157" s="39"/>
      <c r="T157" s="39"/>
      <c r="U157" s="39"/>
      <c r="AJ157" s="2"/>
      <c r="AK157" s="2"/>
      <c r="AL157" s="2"/>
      <c r="AM157" s="2"/>
      <c r="AN157" s="2"/>
      <c r="AO157" s="2"/>
      <c r="AS157" s="450" t="s">
        <v>542</v>
      </c>
      <c r="AT157" s="450">
        <v>-1</v>
      </c>
      <c r="AU157" s="450">
        <v>-1.3</v>
      </c>
      <c r="AV157" s="450">
        <v>-1</v>
      </c>
      <c r="AW157" s="450">
        <v>-1</v>
      </c>
      <c r="AX157" s="450">
        <v>-1</v>
      </c>
    </row>
    <row r="158" spans="2:50" ht="15.65" customHeight="1" x14ac:dyDescent="0.35">
      <c r="D158" s="42"/>
      <c r="E158" s="42"/>
      <c r="F158" s="100"/>
      <c r="G158" s="42"/>
      <c r="H158" s="45"/>
      <c r="O158" s="3"/>
      <c r="S158"/>
      <c r="T158" s="39"/>
      <c r="U158" s="39"/>
      <c r="AJ158" s="2"/>
      <c r="AK158" s="2"/>
      <c r="AL158" s="2"/>
      <c r="AM158" s="2"/>
      <c r="AN158" s="2"/>
      <c r="AO158" s="2"/>
      <c r="AS158" s="450">
        <v>4</v>
      </c>
      <c r="AT158" s="450">
        <v>-0.55000000000000004</v>
      </c>
      <c r="AU158" s="450">
        <v>-0.8</v>
      </c>
      <c r="AV158" s="450">
        <v>-0.7</v>
      </c>
      <c r="AW158" s="450">
        <v>-0.7</v>
      </c>
      <c r="AX158" s="450">
        <v>-0.85</v>
      </c>
    </row>
    <row r="159" spans="2:50" ht="15.75" customHeight="1" x14ac:dyDescent="0.3">
      <c r="D159" s="42"/>
      <c r="E159" s="42"/>
      <c r="F159" s="100"/>
      <c r="G159" s="42"/>
      <c r="H159" s="45"/>
      <c r="O159" s="3"/>
      <c r="T159" s="39"/>
      <c r="U159" s="39"/>
      <c r="AJ159" s="2"/>
      <c r="AK159" s="2"/>
      <c r="AL159" s="2"/>
      <c r="AM159" s="2"/>
      <c r="AN159" s="2"/>
      <c r="AO159" s="2"/>
      <c r="AS159" s="450" t="s">
        <v>543</v>
      </c>
      <c r="AT159" s="450">
        <v>-0.8</v>
      </c>
      <c r="AU159" s="450">
        <v>-1.2</v>
      </c>
      <c r="AV159" s="450">
        <v>-0.9</v>
      </c>
      <c r="AW159" s="450">
        <v>-0.9</v>
      </c>
      <c r="AX159" s="450">
        <v>-0.9</v>
      </c>
    </row>
    <row r="160" spans="2:50" ht="15.75" customHeight="1" x14ac:dyDescent="0.3">
      <c r="D160" s="42"/>
      <c r="E160" s="42"/>
      <c r="F160" s="100"/>
      <c r="G160" s="42"/>
      <c r="H160" s="45"/>
      <c r="O160" s="3"/>
      <c r="T160" s="39"/>
      <c r="U160" s="39"/>
      <c r="AJ160" s="2"/>
      <c r="AK160" s="2"/>
      <c r="AL160" s="2"/>
      <c r="AM160" s="2"/>
      <c r="AN160" s="2"/>
      <c r="AO160" s="2"/>
      <c r="AS160" s="450">
        <v>5</v>
      </c>
      <c r="AT160" s="450"/>
      <c r="AU160" s="450"/>
      <c r="AV160" s="450"/>
      <c r="AW160" s="450"/>
      <c r="AX160" s="450">
        <v>0.75</v>
      </c>
    </row>
    <row r="161" spans="1:50" ht="15.75" customHeight="1" x14ac:dyDescent="0.3">
      <c r="B161" s="538" t="s">
        <v>544</v>
      </c>
      <c r="C161" s="301"/>
      <c r="D161" s="301"/>
      <c r="E161" s="301"/>
      <c r="O161" s="3"/>
      <c r="S161" s="39"/>
      <c r="T161" s="39"/>
      <c r="U161" s="39"/>
      <c r="AJ161" s="2"/>
      <c r="AK161" s="2"/>
      <c r="AL161" s="2"/>
      <c r="AM161" s="2"/>
      <c r="AN161" s="2"/>
      <c r="AS161" s="450" t="s">
        <v>545</v>
      </c>
      <c r="AT161" s="450"/>
      <c r="AU161" s="450"/>
      <c r="AV161" s="450"/>
      <c r="AW161" s="450"/>
      <c r="AX161" s="450">
        <v>1.1499999999999999</v>
      </c>
    </row>
    <row r="162" spans="1:50" ht="15.75" customHeight="1" x14ac:dyDescent="0.35">
      <c r="B162" s="70" t="s">
        <v>546</v>
      </c>
      <c r="C162" s="49"/>
      <c r="D162" s="49"/>
      <c r="E162" s="49"/>
      <c r="O162" s="3"/>
      <c r="S162" s="39"/>
      <c r="T162" s="39"/>
      <c r="U162" s="39"/>
      <c r="AJ162" s="2"/>
      <c r="AK162" s="2"/>
      <c r="AL162" s="2"/>
      <c r="AM162" s="2"/>
      <c r="AN162" s="2"/>
      <c r="AS162" s="450">
        <v>6</v>
      </c>
      <c r="AT162" s="450"/>
      <c r="AU162" s="450"/>
      <c r="AV162" s="450"/>
      <c r="AW162" s="450"/>
      <c r="AX162" s="450">
        <v>-0.55000000000000004</v>
      </c>
    </row>
    <row r="163" spans="1:50" ht="15.75" customHeight="1" thickBot="1" x14ac:dyDescent="0.35">
      <c r="B163" s="52"/>
      <c r="O163" s="3"/>
      <c r="S163" s="39"/>
      <c r="T163" s="39"/>
      <c r="U163" s="39"/>
      <c r="AJ163" s="2"/>
      <c r="AK163" s="2"/>
      <c r="AL163" s="2"/>
      <c r="AM163" s="2"/>
      <c r="AN163" s="2"/>
      <c r="AS163" s="450" t="s">
        <v>547</v>
      </c>
      <c r="AT163" s="450"/>
      <c r="AU163" s="450"/>
      <c r="AV163" s="450"/>
      <c r="AW163" s="450"/>
      <c r="AX163" s="450">
        <v>-0.8</v>
      </c>
    </row>
    <row r="164" spans="1:50" ht="15.75" customHeight="1" thickBot="1" x14ac:dyDescent="0.5">
      <c r="C164" s="483" t="s">
        <v>548</v>
      </c>
      <c r="D164" s="484"/>
      <c r="E164" s="485"/>
      <c r="H164" s="480" t="s">
        <v>520</v>
      </c>
      <c r="I164" s="478"/>
      <c r="O164" s="3"/>
      <c r="Q164" s="48"/>
      <c r="S164" s="39"/>
      <c r="T164" s="39"/>
      <c r="U164" s="39"/>
      <c r="AJ164" s="2"/>
      <c r="AK164" s="2"/>
      <c r="AL164" s="2"/>
      <c r="AM164" s="2"/>
      <c r="AN164" s="2"/>
      <c r="AS164" s="451"/>
      <c r="AT164" s="449"/>
      <c r="AU164" s="449"/>
      <c r="AV164" s="449"/>
      <c r="AW164" s="449"/>
      <c r="AX164" s="449"/>
    </row>
    <row r="165" spans="1:50" ht="15.75" customHeight="1" x14ac:dyDescent="0.35">
      <c r="C165" s="95"/>
      <c r="O165" s="3"/>
      <c r="Q165" s="48"/>
      <c r="S165" s="39"/>
      <c r="T165" s="39"/>
      <c r="U165" s="39"/>
      <c r="AJ165" s="2"/>
      <c r="AK165" s="2"/>
      <c r="AL165" s="2"/>
      <c r="AM165" s="2"/>
      <c r="AN165" s="2"/>
      <c r="AS165" s="452" t="s">
        <v>549</v>
      </c>
      <c r="AT165" s="1099" t="s">
        <v>381</v>
      </c>
      <c r="AU165" s="1100"/>
      <c r="AV165" s="1100"/>
      <c r="AW165" s="1101"/>
      <c r="AX165" s="453" t="s">
        <v>550</v>
      </c>
    </row>
    <row r="166" spans="1:50" ht="15.75" customHeight="1" thickBot="1" x14ac:dyDescent="0.4">
      <c r="B166" s="52"/>
      <c r="C166" s="529" t="s">
        <v>466</v>
      </c>
      <c r="D166" s="530" t="s">
        <v>551</v>
      </c>
      <c r="E166" s="531" t="s">
        <v>552</v>
      </c>
      <c r="F166" s="356" t="s">
        <v>522</v>
      </c>
      <c r="G166" s="532">
        <v>0.9</v>
      </c>
      <c r="O166" s="3"/>
      <c r="Q166" s="48"/>
      <c r="S166" s="39"/>
      <c r="T166" s="39"/>
      <c r="U166" s="39"/>
      <c r="AJ166" s="2"/>
      <c r="AK166" s="2"/>
      <c r="AL166" s="2"/>
      <c r="AM166" s="2"/>
      <c r="AN166" s="2"/>
      <c r="AS166" s="454" t="s">
        <v>553</v>
      </c>
      <c r="AT166" s="454" t="s">
        <v>554</v>
      </c>
      <c r="AU166" s="454" t="s">
        <v>555</v>
      </c>
      <c r="AV166" s="454" t="s">
        <v>556</v>
      </c>
      <c r="AW166" s="454" t="s">
        <v>557</v>
      </c>
      <c r="AX166" s="454" t="s">
        <v>558</v>
      </c>
    </row>
    <row r="167" spans="1:50" ht="15.65" customHeight="1" thickBot="1" x14ac:dyDescent="0.4">
      <c r="B167" s="52"/>
      <c r="C167" s="529"/>
      <c r="D167" s="530" t="s">
        <v>551</v>
      </c>
      <c r="E167" s="109">
        <f>(D149/10)^0.2</f>
        <v>1.0518149211612278</v>
      </c>
      <c r="F167" s="30" t="s">
        <v>522</v>
      </c>
      <c r="G167" s="4">
        <f>G166</f>
        <v>0.9</v>
      </c>
      <c r="H167" s="481" t="b">
        <f>IF(E167 &gt;= G167, TRUE)</f>
        <v>1</v>
      </c>
      <c r="I167" s="479"/>
      <c r="J167" s="311" t="s">
        <v>518</v>
      </c>
      <c r="K167" s="473" t="s">
        <v>422</v>
      </c>
      <c r="L167" s="486">
        <f>VLOOKUP(H164,AI145:AO146,7,FALSE)</f>
        <v>1.0518149211612278</v>
      </c>
      <c r="O167" s="3"/>
      <c r="Q167" s="48"/>
    </row>
    <row r="168" spans="1:50" ht="15.65" customHeight="1" x14ac:dyDescent="0.35">
      <c r="B168" s="52"/>
      <c r="C168" s="529"/>
      <c r="E168" s="30"/>
      <c r="O168" s="3"/>
    </row>
    <row r="169" spans="1:50" ht="21" customHeight="1" x14ac:dyDescent="0.35">
      <c r="B169" s="52"/>
      <c r="C169" s="529"/>
      <c r="E169" s="30"/>
      <c r="I169" s="63"/>
      <c r="O169" s="3"/>
      <c r="R169" s="48"/>
    </row>
    <row r="170" spans="1:50" ht="15.65" customHeight="1" thickBot="1" x14ac:dyDescent="0.4">
      <c r="B170" s="52"/>
      <c r="C170" s="529" t="s">
        <v>559</v>
      </c>
      <c r="E170" s="30" t="s">
        <v>560</v>
      </c>
      <c r="F170" s="3" t="s">
        <v>561</v>
      </c>
      <c r="G170" s="4">
        <v>0.7</v>
      </c>
      <c r="I170" s="520"/>
      <c r="O170" s="3"/>
      <c r="Q170" s="48"/>
      <c r="AO170" s="2"/>
    </row>
    <row r="171" spans="1:50" ht="15.65" customHeight="1" thickBot="1" x14ac:dyDescent="0.4">
      <c r="B171" s="52"/>
      <c r="C171" s="529"/>
      <c r="E171" s="30">
        <f>(0.7*(D149/12)^0.3)</f>
        <v>0.71491211608965322</v>
      </c>
      <c r="F171" s="30" t="s">
        <v>522</v>
      </c>
      <c r="G171" s="4">
        <v>0.7</v>
      </c>
      <c r="H171" s="482" t="b">
        <f>IF(E171 &gt;= G171,TRUE)</f>
        <v>1</v>
      </c>
      <c r="I171" s="521"/>
      <c r="O171" s="3"/>
      <c r="Q171" s="48"/>
      <c r="AO171" s="2"/>
    </row>
    <row r="172" spans="1:50" ht="15.65" customHeight="1" x14ac:dyDescent="0.35">
      <c r="B172" s="52"/>
      <c r="C172" s="529"/>
      <c r="I172" s="62"/>
      <c r="O172" s="3"/>
      <c r="Q172" s="48"/>
      <c r="AO172" s="2"/>
    </row>
    <row r="173" spans="1:50" ht="15.65" customHeight="1" x14ac:dyDescent="0.35">
      <c r="B173" s="52"/>
      <c r="C173" s="529"/>
      <c r="I173" s="520"/>
      <c r="O173" s="3"/>
      <c r="Q173" s="48"/>
      <c r="AO173" s="2"/>
    </row>
    <row r="174" spans="1:50" ht="15.65" customHeight="1" x14ac:dyDescent="0.35">
      <c r="B174" s="52"/>
      <c r="C174" s="529" t="s">
        <v>475</v>
      </c>
      <c r="E174" s="2" t="s">
        <v>562</v>
      </c>
      <c r="I174" s="519"/>
      <c r="O174" s="3"/>
      <c r="Q174" s="48"/>
      <c r="AO174" s="2"/>
    </row>
    <row r="175" spans="1:50" ht="15.75" customHeight="1" x14ac:dyDescent="0.35">
      <c r="A175" s="52"/>
      <c r="C175" s="47"/>
      <c r="E175" s="145" t="s">
        <v>563</v>
      </c>
      <c r="F175" s="124"/>
      <c r="AO175" s="60"/>
      <c r="AP175" s="60"/>
    </row>
    <row r="176" spans="1:50" ht="15.75" customHeight="1" thickBot="1" x14ac:dyDescent="0.4">
      <c r="A176" s="52"/>
      <c r="D176" s="52"/>
      <c r="N176" s="97"/>
      <c r="O176" s="42"/>
      <c r="P176" s="42"/>
      <c r="AP176" s="60"/>
    </row>
    <row r="177" spans="1:28" ht="18.75" customHeight="1" thickBot="1" x14ac:dyDescent="0.4">
      <c r="A177" s="52"/>
      <c r="B177" s="70" t="s">
        <v>564</v>
      </c>
      <c r="C177" s="70"/>
      <c r="D177" s="70"/>
      <c r="E177" s="70"/>
      <c r="F177" s="52"/>
      <c r="G177" s="519"/>
      <c r="J177" s="539" t="s">
        <v>565</v>
      </c>
      <c r="K177" s="473" t="s">
        <v>422</v>
      </c>
      <c r="L177" s="486">
        <v>1</v>
      </c>
    </row>
    <row r="178" spans="1:28" ht="15.65" customHeight="1" x14ac:dyDescent="0.4">
      <c r="A178" s="52"/>
      <c r="B178" s="154" t="s">
        <v>566</v>
      </c>
      <c r="C178" s="49"/>
      <c r="D178" s="49"/>
      <c r="E178" s="49"/>
    </row>
    <row r="179" spans="1:28" ht="20.149999999999999" hidden="1" customHeight="1" thickBot="1" x14ac:dyDescent="0.4">
      <c r="A179" s="52"/>
      <c r="B179" s="52"/>
      <c r="K179" s="319"/>
      <c r="L179" s="320"/>
      <c r="M179" s="321"/>
    </row>
    <row r="180" spans="1:28" ht="15.65" hidden="1" customHeight="1" thickBot="1" x14ac:dyDescent="0.35">
      <c r="A180" s="52"/>
      <c r="N180" s="127"/>
      <c r="O180" s="42"/>
      <c r="P180" s="38"/>
    </row>
    <row r="181" spans="1:28" ht="19.5" hidden="1" customHeight="1" x14ac:dyDescent="0.35">
      <c r="A181" s="52"/>
      <c r="B181" s="70" t="s">
        <v>567</v>
      </c>
      <c r="C181" s="49"/>
      <c r="D181" s="49"/>
      <c r="E181" s="49"/>
      <c r="L181" s="142"/>
      <c r="N181" s="127"/>
      <c r="O181" s="42"/>
      <c r="P181" s="38"/>
    </row>
    <row r="182" spans="1:28" ht="20.149999999999999" hidden="1" customHeight="1" thickBot="1" x14ac:dyDescent="0.4">
      <c r="A182" s="52"/>
      <c r="B182" s="70" t="s">
        <v>568</v>
      </c>
      <c r="C182" s="49"/>
      <c r="D182" s="49"/>
      <c r="E182" s="66"/>
    </row>
    <row r="183" spans="1:28" ht="15.75" hidden="1" customHeight="1" thickBot="1" x14ac:dyDescent="0.35">
      <c r="O183" s="61"/>
      <c r="P183" s="38"/>
    </row>
    <row r="184" spans="1:28" ht="15.75" hidden="1" customHeight="1" x14ac:dyDescent="0.35">
      <c r="C184" s="4"/>
      <c r="F184" s="271"/>
      <c r="AB184" s="69"/>
    </row>
    <row r="185" spans="1:28" ht="20.149999999999999" hidden="1" customHeight="1" x14ac:dyDescent="0.4">
      <c r="C185" s="1108" t="s">
        <v>569</v>
      </c>
      <c r="D185" s="1109"/>
      <c r="E185" s="1110"/>
      <c r="F185" s="518"/>
      <c r="J185" s="540" t="s">
        <v>570</v>
      </c>
      <c r="K185" s="472" t="s">
        <v>422</v>
      </c>
      <c r="L185" s="323">
        <f>IF(C185="Select the Following","Null",
IF(C185="a) Primary Members (Structural Steel)",2,
IF(C185="b) Secondary Members",2.5,
IF(C185="c) Primary &amp; Secondary Members","N/A",""))))</f>
        <v>2</v>
      </c>
      <c r="AB185" s="69"/>
    </row>
    <row r="186" spans="1:28" ht="22.5" customHeight="1" x14ac:dyDescent="0.35">
      <c r="F186" s="271"/>
      <c r="N186" s="2"/>
      <c r="Q186" s="72"/>
      <c r="AB186" s="69"/>
    </row>
    <row r="187" spans="1:28" ht="15.75" customHeight="1" thickBot="1" x14ac:dyDescent="0.4">
      <c r="B187" s="1105" t="s">
        <v>571</v>
      </c>
      <c r="C187" s="1098"/>
      <c r="D187" s="1098"/>
      <c r="E187" s="1098"/>
      <c r="F187" s="1098"/>
    </row>
    <row r="188" spans="1:28" ht="18" customHeight="1" thickBot="1" x14ac:dyDescent="0.4">
      <c r="B188" s="52"/>
      <c r="C188" s="1102" t="s">
        <v>572</v>
      </c>
      <c r="D188" s="1103"/>
      <c r="E188" s="1103"/>
      <c r="F188" s="1103"/>
      <c r="G188" s="1104"/>
      <c r="M188" s="138"/>
    </row>
    <row r="189" spans="1:28" ht="15.75" customHeight="1" x14ac:dyDescent="0.3"/>
    <row r="190" spans="1:28" ht="15.65" customHeight="1" thickBot="1" x14ac:dyDescent="0.4">
      <c r="B190" s="70" t="s">
        <v>573</v>
      </c>
    </row>
    <row r="191" spans="1:28" ht="15.65" customHeight="1" thickBot="1" x14ac:dyDescent="0.4">
      <c r="C191" s="1130" t="s">
        <v>389</v>
      </c>
      <c r="D191" s="1103"/>
      <c r="E191" s="1103"/>
      <c r="F191" s="1103"/>
      <c r="G191" s="1103"/>
      <c r="H191" s="1103"/>
      <c r="I191" s="1103"/>
      <c r="J191" s="1103"/>
      <c r="K191" s="1103"/>
      <c r="L191" s="1131"/>
    </row>
    <row r="192" spans="1:28" ht="15.75" customHeight="1" x14ac:dyDescent="0.35">
      <c r="C192" s="1106"/>
      <c r="D192" s="1107"/>
      <c r="E192" s="1107"/>
      <c r="F192" s="1107"/>
      <c r="G192" s="1107"/>
      <c r="H192" s="1107"/>
    </row>
    <row r="193" spans="2:19" ht="15.75" customHeight="1" x14ac:dyDescent="0.3">
      <c r="B193" s="102"/>
    </row>
    <row r="194" spans="2:19" ht="15.75" customHeight="1" x14ac:dyDescent="0.35">
      <c r="B194" s="70" t="s">
        <v>574</v>
      </c>
      <c r="C194" s="49"/>
      <c r="D194" s="49"/>
      <c r="E194" s="49"/>
      <c r="F194" s="49"/>
      <c r="N194" s="109"/>
    </row>
    <row r="195" spans="2:19" ht="15.75" customHeight="1" x14ac:dyDescent="0.35">
      <c r="B195" s="105" t="s">
        <v>575</v>
      </c>
      <c r="N195" s="109"/>
    </row>
    <row r="196" spans="2:19" ht="15.75" customHeight="1" x14ac:dyDescent="0.3">
      <c r="N196" s="109"/>
      <c r="P196" s="98"/>
      <c r="Q196" s="98"/>
    </row>
    <row r="197" spans="2:19" ht="15.75" customHeight="1" x14ac:dyDescent="0.35">
      <c r="B197" s="3" t="s">
        <v>576</v>
      </c>
      <c r="C197" t="s">
        <v>577</v>
      </c>
      <c r="H197" s="40" t="s">
        <v>578</v>
      </c>
      <c r="N197" s="109"/>
      <c r="P197" s="98"/>
      <c r="Q197" s="98"/>
      <c r="S197" s="7"/>
    </row>
    <row r="198" spans="2:19" ht="15.75" customHeight="1" x14ac:dyDescent="0.3">
      <c r="N198" s="109"/>
      <c r="P198" s="98"/>
      <c r="Q198" s="98"/>
      <c r="S198" s="7"/>
    </row>
    <row r="199" spans="2:19" ht="15.75" customHeight="1" x14ac:dyDescent="0.35">
      <c r="B199" s="109" t="s">
        <v>579</v>
      </c>
      <c r="C199" s="49" t="s">
        <v>580</v>
      </c>
      <c r="D199" s="49"/>
      <c r="E199" s="49"/>
      <c r="N199" s="109"/>
      <c r="P199" s="98"/>
      <c r="Q199" s="98"/>
      <c r="S199" s="7"/>
    </row>
    <row r="200" spans="2:19" ht="15.75" customHeight="1" x14ac:dyDescent="0.3">
      <c r="B200" s="30"/>
      <c r="N200" s="109"/>
      <c r="P200" s="98"/>
      <c r="Q200" s="98"/>
      <c r="S200" s="7"/>
    </row>
    <row r="201" spans="2:19" ht="15.75" customHeight="1" x14ac:dyDescent="0.35">
      <c r="E201" s="44" t="s">
        <v>581</v>
      </c>
      <c r="F201" s="59">
        <v>12.87</v>
      </c>
      <c r="G201" s="106" t="s">
        <v>392</v>
      </c>
      <c r="H201" s="44" t="s">
        <v>582</v>
      </c>
      <c r="I201" s="40">
        <v>36.409999999999997</v>
      </c>
      <c r="J201" s="106" t="s">
        <v>392</v>
      </c>
      <c r="N201" s="109"/>
      <c r="P201" s="98"/>
      <c r="Q201" s="98"/>
      <c r="S201" s="7"/>
    </row>
    <row r="202" spans="2:19" ht="19.5" customHeight="1" x14ac:dyDescent="0.35">
      <c r="D202" s="94"/>
      <c r="E202" s="522"/>
      <c r="F202" s="106"/>
      <c r="G202" s="43"/>
      <c r="H202" s="42"/>
      <c r="I202" s="106"/>
      <c r="N202" s="109"/>
      <c r="P202" s="98"/>
      <c r="Q202" s="98"/>
      <c r="S202" s="7"/>
    </row>
    <row r="203" spans="2:19" ht="15.75" customHeight="1" x14ac:dyDescent="0.35">
      <c r="E203" s="44" t="s">
        <v>583</v>
      </c>
      <c r="F203" s="42">
        <f>F201/I201</f>
        <v>0.35347432024169184</v>
      </c>
      <c r="G203" s="43"/>
      <c r="H203" s="42"/>
      <c r="I203" s="106"/>
      <c r="N203" s="109"/>
      <c r="P203" s="98"/>
      <c r="Q203" s="98"/>
      <c r="S203" s="7"/>
    </row>
    <row r="204" spans="2:19" ht="15.75" customHeight="1" x14ac:dyDescent="0.35">
      <c r="D204" s="44"/>
      <c r="E204" s="42"/>
      <c r="F204" s="106"/>
      <c r="G204" s="4"/>
      <c r="H204" s="42"/>
      <c r="I204" s="106"/>
      <c r="N204" s="109"/>
      <c r="P204" s="98"/>
      <c r="Q204" s="98"/>
      <c r="S204" s="7"/>
    </row>
    <row r="205" spans="2:19" ht="15.65" customHeight="1" x14ac:dyDescent="0.3">
      <c r="N205" s="2"/>
      <c r="P205" s="98"/>
      <c r="Q205" s="98"/>
      <c r="R205" s="98"/>
      <c r="S205" s="7"/>
    </row>
    <row r="206" spans="2:19" ht="15.65" customHeight="1" x14ac:dyDescent="0.3">
      <c r="B206" s="2" t="s">
        <v>584</v>
      </c>
      <c r="C206" s="43" t="s">
        <v>585</v>
      </c>
      <c r="N206" s="109"/>
      <c r="P206" s="98"/>
      <c r="Q206" s="98"/>
      <c r="R206" s="98"/>
      <c r="S206" s="7"/>
    </row>
    <row r="207" spans="2:19" ht="15.65" customHeight="1" thickBot="1" x14ac:dyDescent="0.35">
      <c r="N207" s="109"/>
      <c r="P207" s="98"/>
      <c r="Q207" s="98"/>
      <c r="R207" s="98"/>
      <c r="S207" s="7"/>
    </row>
    <row r="208" spans="2:19" ht="15.65" customHeight="1" thickBot="1" x14ac:dyDescent="0.35">
      <c r="C208" s="2" t="s">
        <v>586</v>
      </c>
      <c r="E208" s="4">
        <v>0.25</v>
      </c>
      <c r="H208" s="156" t="b">
        <f>IF(F203&lt;E208, 0.6, FALSE)</f>
        <v>0</v>
      </c>
      <c r="N208" s="109"/>
      <c r="P208" s="98"/>
      <c r="Q208" s="98"/>
      <c r="R208" s="98"/>
      <c r="S208" s="7"/>
    </row>
    <row r="209" spans="2:72" ht="15.75" customHeight="1" thickBot="1" x14ac:dyDescent="0.35">
      <c r="N209" s="109"/>
      <c r="P209" s="98"/>
      <c r="Q209" s="98"/>
      <c r="R209" s="98"/>
      <c r="S209" s="7"/>
    </row>
    <row r="210" spans="2:72" ht="15.75" customHeight="1" thickBot="1" x14ac:dyDescent="0.45">
      <c r="D210" s="47" t="s">
        <v>587</v>
      </c>
      <c r="E210" s="3" t="s">
        <v>588</v>
      </c>
      <c r="H210" s="157">
        <f>IF(AND(F203&gt;0.24,F203&lt;1), E211,FALSE)</f>
        <v>0.54</v>
      </c>
      <c r="J210" s="196" t="s">
        <v>589</v>
      </c>
      <c r="K210" s="155">
        <v>0.54</v>
      </c>
      <c r="L210" s="548" t="s">
        <v>590</v>
      </c>
      <c r="M210" s="287"/>
      <c r="N210" s="541"/>
      <c r="O210" s="42"/>
      <c r="P210" s="109"/>
      <c r="Q210" s="98"/>
      <c r="R210" s="98"/>
      <c r="S210" s="7"/>
    </row>
    <row r="211" spans="2:72" ht="19.5" customHeight="1" thickBot="1" x14ac:dyDescent="0.35">
      <c r="D211" s="93" t="s">
        <v>591</v>
      </c>
      <c r="E211" s="107">
        <f>0.27* (E209 +2)</f>
        <v>0.54</v>
      </c>
      <c r="H211" s="85"/>
      <c r="N211" s="2"/>
      <c r="P211" s="109"/>
      <c r="Q211" s="98"/>
      <c r="R211" s="98"/>
      <c r="S211" s="7"/>
    </row>
    <row r="212" spans="2:72" ht="15.75" customHeight="1" thickBot="1" x14ac:dyDescent="0.35">
      <c r="C212" s="2" t="s">
        <v>592</v>
      </c>
      <c r="E212" s="107" t="e">
        <f>0.27* (E210 +2)</f>
        <v>#VALUE!</v>
      </c>
      <c r="H212" s="156" t="b">
        <f>IF(F203 &gt; 0.99, 0.8)</f>
        <v>0</v>
      </c>
      <c r="N212" s="2"/>
      <c r="P212" s="109"/>
      <c r="Q212" s="98"/>
      <c r="R212" s="98"/>
      <c r="S212" s="7"/>
    </row>
    <row r="213" spans="2:72" ht="15.75" customHeight="1" x14ac:dyDescent="0.3">
      <c r="N213" s="2"/>
      <c r="P213" s="109"/>
      <c r="Q213" s="98"/>
      <c r="R213" s="98"/>
      <c r="S213" s="7"/>
    </row>
    <row r="214" spans="2:72" ht="15.75" customHeight="1" x14ac:dyDescent="0.3">
      <c r="N214" s="2"/>
      <c r="P214" s="109"/>
      <c r="Q214" s="98"/>
      <c r="R214" s="98"/>
      <c r="S214" s="7"/>
    </row>
    <row r="215" spans="2:72" ht="15.75" customHeight="1" x14ac:dyDescent="0.4">
      <c r="B215" s="2" t="s">
        <v>470</v>
      </c>
      <c r="C215" s="42" t="s">
        <v>593</v>
      </c>
      <c r="K215" s="108"/>
      <c r="L215" s="43"/>
      <c r="M215" s="42"/>
      <c r="N215" s="42"/>
      <c r="O215" s="42"/>
      <c r="P215" s="109"/>
      <c r="Q215" s="98"/>
      <c r="R215" s="98"/>
      <c r="S215" s="7"/>
    </row>
    <row r="216" spans="2:72" ht="19.5" customHeight="1" thickBot="1" x14ac:dyDescent="0.45">
      <c r="K216" s="108"/>
      <c r="L216" s="43"/>
      <c r="M216" s="42"/>
      <c r="N216" s="42"/>
      <c r="O216" s="42"/>
      <c r="P216" s="109"/>
      <c r="Q216" s="98"/>
      <c r="R216" s="98"/>
      <c r="S216" s="7"/>
    </row>
    <row r="217" spans="2:72" ht="17.149999999999999" customHeight="1" thickBot="1" x14ac:dyDescent="0.45">
      <c r="C217" s="2" t="s">
        <v>594</v>
      </c>
      <c r="H217" s="156" t="b">
        <f>IF(F203 &lt; 0.25, -0.3)</f>
        <v>0</v>
      </c>
      <c r="K217" s="108"/>
      <c r="L217" s="43"/>
      <c r="M217" s="42"/>
      <c r="N217" s="42"/>
      <c r="O217" s="42"/>
      <c r="P217" s="109"/>
      <c r="Q217" s="98"/>
      <c r="R217" s="98"/>
      <c r="S217" s="7"/>
      <c r="BG217" s="83"/>
      <c r="BH217" s="84"/>
      <c r="BI217" s="86"/>
      <c r="BJ217" s="86"/>
      <c r="BK217" s="86"/>
      <c r="BL217" s="86"/>
      <c r="BM217" s="86"/>
      <c r="BN217" s="86"/>
      <c r="BO217" s="86"/>
      <c r="BP217" s="86"/>
      <c r="BQ217" s="86"/>
      <c r="BR217" s="86"/>
      <c r="BS217" s="86"/>
      <c r="BT217" s="87"/>
    </row>
    <row r="218" spans="2:72" ht="17.149999999999999" customHeight="1" thickBot="1" x14ac:dyDescent="0.45">
      <c r="K218" s="108"/>
      <c r="L218" s="43"/>
      <c r="M218" s="42"/>
      <c r="N218" s="42"/>
      <c r="O218" s="42"/>
      <c r="P218" s="109"/>
      <c r="Q218" s="98"/>
      <c r="R218" s="98"/>
      <c r="S218" s="7"/>
      <c r="BG218" s="74"/>
      <c r="BH218" s="88"/>
      <c r="BI218" s="75"/>
      <c r="BJ218" s="75"/>
      <c r="BK218" s="75"/>
      <c r="BL218" s="75"/>
      <c r="BM218" s="75"/>
      <c r="BN218" s="75"/>
      <c r="BO218" s="75"/>
      <c r="BP218" s="75"/>
      <c r="BQ218" s="75"/>
      <c r="BR218" s="75"/>
      <c r="BS218" s="75"/>
      <c r="BT218" s="76"/>
    </row>
    <row r="219" spans="2:72" ht="17.149999999999999" customHeight="1" thickBot="1" x14ac:dyDescent="0.45">
      <c r="C219" s="2" t="s">
        <v>595</v>
      </c>
      <c r="H219" s="156">
        <f>IF(AND(F203 &gt; 0.24, F203 &lt; 1), -0.27*(F203+0.88),FALSE)</f>
        <v>-0.3330380664652568</v>
      </c>
      <c r="J219" s="540" t="s">
        <v>589</v>
      </c>
      <c r="K219" s="197">
        <f>H219</f>
        <v>-0.3330380664652568</v>
      </c>
      <c r="L219" s="549" t="s">
        <v>596</v>
      </c>
      <c r="M219" s="287"/>
      <c r="N219" s="287"/>
      <c r="P219" s="109"/>
      <c r="Q219" s="98"/>
      <c r="R219" s="98"/>
      <c r="S219" s="7"/>
      <c r="BG219" s="74"/>
      <c r="BH219" s="88"/>
      <c r="BI219" s="75"/>
      <c r="BJ219" s="75"/>
      <c r="BK219" s="75"/>
      <c r="BL219" s="75"/>
      <c r="BM219" s="75"/>
      <c r="BN219" s="75"/>
      <c r="BO219" s="75"/>
      <c r="BP219" s="75"/>
      <c r="BQ219" s="75"/>
      <c r="BR219" s="75"/>
      <c r="BS219" s="75"/>
      <c r="BT219" s="76"/>
    </row>
    <row r="220" spans="2:72" ht="17.149999999999999" customHeight="1" thickBot="1" x14ac:dyDescent="0.4">
      <c r="N220" s="2"/>
      <c r="P220" s="109"/>
      <c r="Q220" s="98"/>
      <c r="R220" s="98"/>
      <c r="S220" s="7"/>
      <c r="BG220" s="74"/>
      <c r="BH220" s="88"/>
      <c r="BI220" s="75"/>
      <c r="BJ220" s="75"/>
      <c r="BK220" s="75"/>
      <c r="BL220" s="75"/>
      <c r="BM220" s="75"/>
      <c r="BN220" s="75"/>
      <c r="BO220" s="75"/>
      <c r="BP220" s="75"/>
      <c r="BQ220" s="75"/>
      <c r="BR220" s="75"/>
      <c r="BS220" s="75"/>
      <c r="BT220" s="76"/>
    </row>
    <row r="221" spans="2:72" ht="17.149999999999999" customHeight="1" thickBot="1" x14ac:dyDescent="0.4">
      <c r="C221" s="2" t="s">
        <v>597</v>
      </c>
      <c r="H221" s="156" t="b">
        <f>IF(F203 &gt; 0.99, -0.5)</f>
        <v>0</v>
      </c>
      <c r="N221" s="2"/>
      <c r="P221" s="109"/>
      <c r="Q221" s="98"/>
      <c r="R221" s="98"/>
      <c r="S221" s="7"/>
      <c r="BG221" s="74"/>
      <c r="BH221" s="88"/>
      <c r="BI221" s="75"/>
      <c r="BJ221" s="75"/>
      <c r="BK221" s="75"/>
      <c r="BL221" s="75"/>
      <c r="BM221" s="75"/>
      <c r="BN221" s="75"/>
      <c r="BO221" s="75"/>
      <c r="BP221" s="75"/>
      <c r="BQ221" s="75"/>
      <c r="BR221" s="75"/>
      <c r="BS221" s="75"/>
      <c r="BT221" s="76"/>
    </row>
    <row r="222" spans="2:72" ht="17.149999999999999" customHeight="1" x14ac:dyDescent="0.35">
      <c r="N222" s="2"/>
      <c r="P222" s="109"/>
      <c r="Q222" s="98"/>
      <c r="R222" s="98"/>
      <c r="S222" s="7"/>
      <c r="BG222" s="74"/>
      <c r="BH222" s="88"/>
      <c r="BI222" s="75"/>
      <c r="BJ222" s="75"/>
      <c r="BK222" s="75"/>
      <c r="BL222" s="75"/>
      <c r="BM222" s="75"/>
      <c r="BN222" s="75"/>
      <c r="BO222" s="75"/>
      <c r="BP222" s="75"/>
      <c r="BQ222" s="75"/>
      <c r="BR222" s="75"/>
      <c r="BS222" s="75"/>
      <c r="BT222" s="76"/>
    </row>
    <row r="223" spans="2:72" ht="17.149999999999999" customHeight="1" thickBot="1" x14ac:dyDescent="0.4">
      <c r="N223" s="2"/>
      <c r="P223" s="109"/>
      <c r="Q223" s="98"/>
      <c r="R223" s="98"/>
      <c r="S223" s="7"/>
      <c r="BG223" s="74"/>
      <c r="BH223" s="88"/>
      <c r="BI223" s="75"/>
      <c r="BJ223" s="75"/>
      <c r="BK223" s="75"/>
      <c r="BL223" s="75"/>
      <c r="BM223" s="75"/>
      <c r="BN223" s="75"/>
      <c r="BO223" s="75"/>
      <c r="BP223" s="75"/>
      <c r="BQ223" s="75"/>
      <c r="BR223" s="75"/>
      <c r="BS223" s="75"/>
      <c r="BT223" s="76"/>
    </row>
    <row r="224" spans="2:72" ht="17.149999999999999" customHeight="1" thickBot="1" x14ac:dyDescent="0.45">
      <c r="B224" s="2" t="s">
        <v>475</v>
      </c>
      <c r="C224" s="42" t="s">
        <v>598</v>
      </c>
      <c r="J224" s="196" t="s">
        <v>589</v>
      </c>
      <c r="K224" s="155">
        <v>-0.7</v>
      </c>
      <c r="L224" s="550" t="s">
        <v>599</v>
      </c>
      <c r="M224" s="551"/>
      <c r="N224" s="551"/>
      <c r="P224" s="127"/>
      <c r="Q224" s="98"/>
      <c r="R224" s="98"/>
      <c r="S224" s="7"/>
      <c r="BG224" s="74"/>
      <c r="BH224" s="88"/>
      <c r="BI224" s="75"/>
      <c r="BJ224" s="75"/>
      <c r="BK224" s="75"/>
      <c r="BL224" s="75"/>
      <c r="BM224" s="75"/>
      <c r="BN224" s="75"/>
      <c r="BO224" s="75"/>
      <c r="BP224" s="75"/>
      <c r="BQ224" s="75"/>
      <c r="BR224" s="75"/>
      <c r="BS224" s="75"/>
      <c r="BT224" s="76"/>
    </row>
    <row r="225" spans="2:72" ht="17.149999999999999" customHeight="1" x14ac:dyDescent="0.35">
      <c r="D225" s="110" t="s">
        <v>600</v>
      </c>
      <c r="E225" s="110"/>
      <c r="N225" s="109"/>
      <c r="P225" s="98"/>
      <c r="Q225" s="98"/>
      <c r="R225" s="98"/>
      <c r="S225" s="7"/>
      <c r="BG225" s="74"/>
      <c r="BH225" s="88"/>
      <c r="BI225" s="75"/>
      <c r="BJ225" s="75"/>
      <c r="BK225" s="75"/>
      <c r="BL225" s="75"/>
      <c r="BM225" s="75"/>
      <c r="BN225" s="75"/>
      <c r="BO225" s="75"/>
      <c r="BP225" s="75"/>
      <c r="BQ225" s="75"/>
      <c r="BR225" s="75"/>
      <c r="BS225" s="75"/>
      <c r="BT225" s="76"/>
    </row>
    <row r="226" spans="2:72" ht="17.149999999999999" customHeight="1" x14ac:dyDescent="0.35">
      <c r="N226" s="2"/>
      <c r="P226" s="98"/>
      <c r="Q226" s="98"/>
      <c r="R226" s="98"/>
      <c r="S226" s="7"/>
      <c r="BG226" s="74"/>
      <c r="BH226" s="88"/>
      <c r="BI226" s="75"/>
      <c r="BJ226" s="75"/>
      <c r="BK226" s="75"/>
      <c r="BL226" s="75"/>
      <c r="BM226" s="75"/>
      <c r="BN226" s="75"/>
      <c r="BO226" s="75"/>
      <c r="BP226" s="75"/>
      <c r="BQ226" s="75"/>
      <c r="BR226" s="75"/>
      <c r="BS226" s="75"/>
      <c r="BT226" s="76"/>
    </row>
    <row r="227" spans="2:72" ht="17.149999999999999" customHeight="1" x14ac:dyDescent="0.35">
      <c r="D227" s="110"/>
      <c r="E227" s="110"/>
      <c r="N227" s="109"/>
      <c r="P227" s="98"/>
      <c r="Q227" s="98"/>
      <c r="R227" s="98"/>
      <c r="S227" s="7"/>
      <c r="BG227" s="74"/>
      <c r="BH227" s="88"/>
      <c r="BI227" s="75"/>
      <c r="BJ227" s="75"/>
      <c r="BK227" s="75"/>
      <c r="BL227" s="75"/>
      <c r="BM227" s="75"/>
      <c r="BN227" s="75"/>
      <c r="BO227" s="75"/>
      <c r="BP227" s="75"/>
      <c r="BQ227" s="75"/>
      <c r="BR227" s="75"/>
      <c r="BS227" s="75"/>
      <c r="BT227" s="76"/>
    </row>
    <row r="228" spans="2:72" ht="17.149999999999999" customHeight="1" x14ac:dyDescent="0.35">
      <c r="B228" t="s">
        <v>601</v>
      </c>
      <c r="D228" s="105" t="s">
        <v>602</v>
      </c>
      <c r="E228" s="110"/>
      <c r="N228" s="109"/>
      <c r="P228" s="98"/>
      <c r="Q228" s="98"/>
      <c r="R228" s="98"/>
      <c r="S228" s="7"/>
      <c r="BG228" s="74"/>
      <c r="BH228" s="88"/>
      <c r="BI228" s="75"/>
      <c r="BJ228" s="75"/>
      <c r="BK228" s="75"/>
      <c r="BL228" s="75"/>
      <c r="BM228" s="75"/>
      <c r="BN228" s="75"/>
      <c r="BO228" s="75"/>
      <c r="BP228" s="75"/>
      <c r="BQ228" s="75"/>
      <c r="BR228" s="75"/>
      <c r="BS228" s="75"/>
      <c r="BT228" s="76"/>
    </row>
    <row r="229" spans="2:72" ht="22.5" customHeight="1" thickBot="1" x14ac:dyDescent="0.4">
      <c r="D229" s="110"/>
      <c r="E229" s="110"/>
      <c r="N229" s="109"/>
      <c r="P229" s="98"/>
      <c r="Q229" s="98"/>
      <c r="R229" s="98"/>
      <c r="S229" s="7"/>
      <c r="BG229" s="74"/>
      <c r="BH229" s="88"/>
      <c r="BI229" s="75"/>
      <c r="BJ229" s="75"/>
      <c r="BK229" s="75"/>
      <c r="BL229" s="75"/>
      <c r="BM229" s="75"/>
      <c r="BN229" s="75"/>
      <c r="BO229" s="75"/>
      <c r="BP229" s="75"/>
      <c r="BQ229" s="75"/>
      <c r="BR229" s="75"/>
      <c r="BS229" s="75"/>
      <c r="BT229" s="76"/>
    </row>
    <row r="230" spans="2:72" ht="17.149999999999999" customHeight="1" thickBot="1" x14ac:dyDescent="0.4">
      <c r="C230" s="2" t="s">
        <v>466</v>
      </c>
      <c r="D230" s="120" t="s">
        <v>603</v>
      </c>
      <c r="E230" s="110"/>
      <c r="G230" s="156" t="b">
        <f>IF(F203&gt;0.99, -1, FALSE)</f>
        <v>0</v>
      </c>
      <c r="N230" s="109"/>
      <c r="P230" s="98"/>
      <c r="Q230" s="98"/>
      <c r="R230" s="98"/>
      <c r="S230" s="7"/>
      <c r="BG230" s="74"/>
      <c r="BH230" s="88"/>
      <c r="BI230" s="75"/>
      <c r="BJ230" s="75"/>
      <c r="BK230" s="75"/>
      <c r="BL230" s="75"/>
      <c r="BM230" s="75"/>
      <c r="BN230" s="75"/>
      <c r="BO230" s="75"/>
      <c r="BP230" s="75"/>
      <c r="BQ230" s="75"/>
      <c r="BR230" s="75"/>
      <c r="BS230" s="75"/>
      <c r="BT230" s="76"/>
    </row>
    <row r="231" spans="2:72" ht="14.5" customHeight="1" x14ac:dyDescent="0.35">
      <c r="D231" s="110"/>
      <c r="E231" s="110"/>
      <c r="N231" s="109"/>
      <c r="P231" s="98"/>
      <c r="Q231" s="98"/>
      <c r="R231" s="98"/>
    </row>
    <row r="232" spans="2:72" ht="17.149999999999999" customHeight="1" x14ac:dyDescent="0.35">
      <c r="C232" s="2" t="s">
        <v>470</v>
      </c>
      <c r="D232" s="120" t="s">
        <v>604</v>
      </c>
      <c r="E232" s="110"/>
      <c r="N232" s="109"/>
      <c r="P232" s="98"/>
      <c r="Q232" s="98"/>
      <c r="R232" s="98"/>
      <c r="S232" s="7"/>
      <c r="BG232" s="74"/>
      <c r="BH232" s="88"/>
      <c r="BI232" s="75"/>
      <c r="BJ232" s="75"/>
      <c r="BK232" s="75"/>
      <c r="BL232" s="75"/>
      <c r="BM232" s="75"/>
      <c r="BN232" s="75"/>
      <c r="BO232" s="75"/>
      <c r="BP232" s="75"/>
      <c r="BQ232" s="75"/>
      <c r="BR232" s="75"/>
      <c r="BS232" s="75"/>
      <c r="BT232" s="76"/>
    </row>
    <row r="233" spans="2:72" ht="17.149999999999999" customHeight="1" x14ac:dyDescent="0.35">
      <c r="D233" s="110"/>
      <c r="E233" s="120" t="s">
        <v>605</v>
      </c>
      <c r="N233" s="109"/>
      <c r="P233" s="98"/>
      <c r="Q233" s="98"/>
      <c r="R233" s="98"/>
      <c r="S233" s="7"/>
      <c r="BG233" s="77"/>
      <c r="BH233" s="89"/>
      <c r="BI233" s="78"/>
      <c r="BJ233" s="78"/>
      <c r="BK233" s="78"/>
      <c r="BL233" s="78"/>
      <c r="BM233" s="78"/>
      <c r="BN233" s="78"/>
      <c r="BO233" s="78"/>
      <c r="BP233" s="78"/>
      <c r="BQ233" s="78"/>
      <c r="BR233" s="78"/>
      <c r="BS233" s="78"/>
      <c r="BT233" s="79"/>
    </row>
    <row r="234" spans="2:72" ht="17.149999999999999" customHeight="1" x14ac:dyDescent="0.35">
      <c r="D234" s="110"/>
      <c r="E234" s="120" t="s">
        <v>606</v>
      </c>
      <c r="N234" s="109"/>
      <c r="P234" s="98"/>
      <c r="Q234" s="98"/>
      <c r="R234" s="98"/>
      <c r="S234" s="7"/>
      <c r="BG234" s="80"/>
      <c r="BH234" s="90"/>
      <c r="BI234" s="81"/>
      <c r="BJ234" s="81"/>
      <c r="BK234" s="81"/>
      <c r="BL234" s="81"/>
      <c r="BM234" s="81"/>
      <c r="BN234" s="81"/>
      <c r="BO234" s="81"/>
      <c r="BP234" s="81"/>
      <c r="BQ234" s="81"/>
      <c r="BR234" s="81"/>
      <c r="BS234" s="81"/>
      <c r="BT234" s="82"/>
    </row>
    <row r="235" spans="2:72" ht="17.149999999999999" customHeight="1" x14ac:dyDescent="0.35">
      <c r="D235" s="110"/>
      <c r="E235" s="110"/>
      <c r="N235" s="109"/>
      <c r="P235" s="98"/>
      <c r="Q235" s="98"/>
      <c r="R235" s="98"/>
      <c r="S235" s="7"/>
    </row>
    <row r="236" spans="2:72" ht="17.149999999999999" customHeight="1" x14ac:dyDescent="0.35">
      <c r="D236" s="110"/>
      <c r="E236" s="110"/>
      <c r="N236" s="109"/>
      <c r="P236" s="98"/>
      <c r="Q236" s="98"/>
      <c r="R236" s="98"/>
      <c r="S236" s="7"/>
    </row>
    <row r="237" spans="2:72" ht="17.149999999999999" customHeight="1" x14ac:dyDescent="0.35">
      <c r="B237" t="s">
        <v>607</v>
      </c>
      <c r="C237" s="42"/>
      <c r="D237" s="42" t="s">
        <v>608</v>
      </c>
      <c r="E237" s="654"/>
      <c r="F237" s="42"/>
      <c r="G237" s="42"/>
      <c r="H237" s="655" t="s">
        <v>609</v>
      </c>
      <c r="I237" s="656"/>
      <c r="J237" s="296"/>
      <c r="N237" s="109"/>
      <c r="P237" s="98"/>
      <c r="Q237" s="98"/>
      <c r="R237" s="98"/>
      <c r="S237" s="7"/>
    </row>
    <row r="238" spans="2:72" ht="17.149999999999999" customHeight="1" x14ac:dyDescent="0.35">
      <c r="D238" s="110"/>
      <c r="E238" s="110"/>
      <c r="H238" s="36"/>
      <c r="J238" s="94"/>
      <c r="N238" s="109"/>
      <c r="P238" s="98"/>
      <c r="Q238" s="98"/>
      <c r="R238" s="98"/>
      <c r="S238" s="7"/>
    </row>
    <row r="239" spans="2:72" ht="17.149999999999999" customHeight="1" x14ac:dyDescent="0.3">
      <c r="S239" s="7"/>
    </row>
    <row r="240" spans="2:72" ht="17.149999999999999" customHeight="1" thickBot="1" x14ac:dyDescent="0.35">
      <c r="N240" s="109"/>
      <c r="P240" s="98"/>
      <c r="Q240" s="98"/>
      <c r="R240" s="98"/>
      <c r="S240" s="7"/>
    </row>
    <row r="241" spans="2:19" ht="17.149999999999999" customHeight="1" thickBot="1" x14ac:dyDescent="0.4">
      <c r="C241" s="70" t="s">
        <v>610</v>
      </c>
      <c r="D241" s="70"/>
      <c r="E241" s="70"/>
      <c r="F241" s="70"/>
      <c r="G241" s="70"/>
      <c r="H241" s="70"/>
      <c r="I241" s="70"/>
      <c r="M241" s="121"/>
      <c r="N241" s="109"/>
      <c r="P241" s="98"/>
      <c r="Q241" s="98"/>
      <c r="R241" s="98"/>
      <c r="S241" s="7"/>
    </row>
    <row r="242" spans="2:19" ht="17.149999999999999" customHeight="1" x14ac:dyDescent="0.3">
      <c r="C242" s="2" t="s">
        <v>611</v>
      </c>
      <c r="M242" s="286"/>
      <c r="N242" s="109"/>
      <c r="P242" s="98"/>
      <c r="Q242" s="98"/>
      <c r="R242" s="98"/>
      <c r="S242" s="7"/>
    </row>
    <row r="243" spans="2:19" ht="17.149999999999999" customHeight="1" x14ac:dyDescent="0.3">
      <c r="N243" s="109"/>
      <c r="P243" s="98"/>
      <c r="Q243" s="98"/>
      <c r="R243" s="98"/>
      <c r="S243" s="7"/>
    </row>
    <row r="244" spans="2:19" ht="17.149999999999999" customHeight="1" x14ac:dyDescent="0.35">
      <c r="B244" s="2" t="s">
        <v>612</v>
      </c>
      <c r="C244" s="2" t="s">
        <v>613</v>
      </c>
      <c r="F244"/>
      <c r="N244" s="109"/>
      <c r="P244" s="98"/>
      <c r="Q244" s="98"/>
      <c r="R244" s="98"/>
      <c r="S244" s="7"/>
    </row>
    <row r="245" spans="2:19" ht="17.149999999999999" customHeight="1" thickBot="1" x14ac:dyDescent="0.35">
      <c r="N245" s="109"/>
      <c r="P245" s="98"/>
      <c r="Q245" s="98"/>
      <c r="R245" s="98"/>
      <c r="S245" s="7"/>
    </row>
    <row r="246" spans="2:19" ht="15.65" customHeight="1" thickBot="1" x14ac:dyDescent="0.4">
      <c r="D246" s="94" t="s">
        <v>528</v>
      </c>
      <c r="E246" s="94"/>
      <c r="G246" s="1127" t="b">
        <f>(AND(D149&lt;=20,D149&lt;F15))</f>
        <v>1</v>
      </c>
      <c r="H246" s="1128"/>
      <c r="N246" s="109"/>
      <c r="P246" s="98"/>
      <c r="Q246" s="98"/>
      <c r="R246" s="98"/>
      <c r="S246" s="7"/>
    </row>
    <row r="247" spans="2:19" ht="17.149999999999999" customHeight="1" x14ac:dyDescent="0.3">
      <c r="N247" s="109"/>
      <c r="P247" s="98"/>
      <c r="Q247" s="98"/>
      <c r="R247" s="98"/>
      <c r="S247" s="7"/>
    </row>
    <row r="248" spans="2:19" ht="17.149999999999999" customHeight="1" x14ac:dyDescent="0.3">
      <c r="B248" s="2" t="s">
        <v>579</v>
      </c>
      <c r="C248" s="2" t="s">
        <v>614</v>
      </c>
      <c r="K248" s="42" t="s">
        <v>615</v>
      </c>
      <c r="L248" s="42"/>
      <c r="M248" s="127"/>
      <c r="N248" s="2"/>
      <c r="P248" s="98"/>
      <c r="Q248" s="98"/>
      <c r="R248" s="98"/>
      <c r="S248" s="7"/>
    </row>
    <row r="249" spans="2:19" ht="17.149999999999999" customHeight="1" x14ac:dyDescent="0.3">
      <c r="C249" s="2" t="s">
        <v>616</v>
      </c>
      <c r="N249" s="109"/>
      <c r="P249" s="98"/>
      <c r="Q249" s="98"/>
      <c r="R249" s="98"/>
      <c r="S249" s="7"/>
    </row>
    <row r="250" spans="2:19" ht="15.65" customHeight="1" x14ac:dyDescent="0.3">
      <c r="N250" s="109"/>
      <c r="P250" s="98"/>
      <c r="Q250" s="98"/>
      <c r="R250" s="98"/>
      <c r="S250" s="7"/>
    </row>
    <row r="251" spans="2:19" ht="15.65" customHeight="1" x14ac:dyDescent="0.4">
      <c r="C251" s="178" t="s">
        <v>617</v>
      </c>
      <c r="D251" s="154"/>
      <c r="E251" s="52"/>
      <c r="O251" s="48"/>
      <c r="Q251" s="98"/>
      <c r="R251" s="98"/>
      <c r="S251" s="7"/>
    </row>
    <row r="252" spans="2:19" ht="15.65" customHeight="1" x14ac:dyDescent="0.35">
      <c r="C252" s="117"/>
      <c r="D252" s="52"/>
      <c r="E252" s="52"/>
      <c r="O252" s="48"/>
      <c r="Q252" s="98"/>
      <c r="R252" s="98"/>
      <c r="S252" s="7"/>
    </row>
    <row r="253" spans="2:19" ht="15.65" customHeight="1" x14ac:dyDescent="0.35">
      <c r="B253" t="s">
        <v>618</v>
      </c>
      <c r="C253" s="2" t="s">
        <v>619</v>
      </c>
      <c r="O253" s="48"/>
      <c r="Q253" s="98"/>
      <c r="R253" s="98"/>
      <c r="S253" s="7"/>
    </row>
    <row r="254" spans="2:19" ht="15.75" customHeight="1" x14ac:dyDescent="0.35">
      <c r="B254" s="179" t="s">
        <v>620</v>
      </c>
      <c r="O254" s="48"/>
      <c r="Q254" s="98"/>
      <c r="R254" s="98"/>
      <c r="S254" s="7"/>
    </row>
    <row r="255" spans="2:19" ht="15.75" customHeight="1" x14ac:dyDescent="0.35">
      <c r="B255" t="s">
        <v>621</v>
      </c>
      <c r="C255" s="2" t="s">
        <v>622</v>
      </c>
      <c r="H255"/>
      <c r="O255" s="48"/>
      <c r="Q255" s="98"/>
      <c r="R255" s="98"/>
      <c r="S255" s="7"/>
    </row>
    <row r="256" spans="2:19" ht="15.75" customHeight="1" x14ac:dyDescent="0.35">
      <c r="C256" s="104" t="s">
        <v>623</v>
      </c>
      <c r="D256" s="49"/>
      <c r="E256" s="49"/>
      <c r="F256" s="49"/>
      <c r="G256" s="49"/>
      <c r="H256" s="49"/>
      <c r="I256" s="49"/>
      <c r="O256" s="48"/>
      <c r="Q256" s="98"/>
      <c r="R256" s="98"/>
      <c r="S256" s="7"/>
    </row>
    <row r="257" spans="2:55" ht="15.75" customHeight="1" x14ac:dyDescent="0.35">
      <c r="C257" s="104"/>
      <c r="D257" s="49"/>
      <c r="E257" s="49"/>
      <c r="F257" s="49"/>
      <c r="G257" s="49"/>
      <c r="H257" s="49"/>
      <c r="I257" s="49"/>
      <c r="O257" s="48"/>
      <c r="Q257" s="98"/>
      <c r="R257" s="98"/>
      <c r="S257" s="7"/>
    </row>
    <row r="258" spans="2:55" ht="15.75" customHeight="1" x14ac:dyDescent="0.35">
      <c r="C258" s="44" t="s">
        <v>624</v>
      </c>
      <c r="D258" s="43">
        <f>0.1*(F15)</f>
        <v>1.8410000000000002</v>
      </c>
      <c r="F258" s="44" t="s">
        <v>625</v>
      </c>
      <c r="G258" s="43">
        <f>0.4*(L15)</f>
        <v>4.5600000000000005</v>
      </c>
      <c r="H258" s="552" t="s">
        <v>626</v>
      </c>
      <c r="I258" s="308"/>
      <c r="J258" s="308"/>
      <c r="K258" s="328"/>
      <c r="L258" s="345">
        <f>D258+G258</f>
        <v>6.4010000000000007</v>
      </c>
      <c r="M258" s="342" t="s">
        <v>392</v>
      </c>
      <c r="N258" s="649" t="s">
        <v>627</v>
      </c>
      <c r="O258" s="127">
        <f>2*L258</f>
        <v>12.802000000000001</v>
      </c>
      <c r="P258" s="343" t="s">
        <v>392</v>
      </c>
      <c r="R258" s="98"/>
      <c r="S258" s="7"/>
    </row>
    <row r="259" spans="2:55" ht="15.75" customHeight="1" thickBot="1" x14ac:dyDescent="0.4">
      <c r="D259" s="47"/>
      <c r="E259" s="4"/>
      <c r="G259" s="47"/>
      <c r="H259" s="4"/>
      <c r="K259" s="7"/>
      <c r="N259" s="2"/>
      <c r="O259" s="48"/>
      <c r="Q259" s="98"/>
      <c r="R259" s="98"/>
      <c r="S259" s="7"/>
    </row>
    <row r="260" spans="2:55" ht="15.75" customHeight="1" thickBot="1" x14ac:dyDescent="0.35">
      <c r="B260" s="2" t="s">
        <v>628</v>
      </c>
      <c r="D260" s="44" t="s">
        <v>629</v>
      </c>
      <c r="E260" s="44" t="s">
        <v>630</v>
      </c>
      <c r="F260" s="43">
        <f>F15/L15</f>
        <v>1.6149122807017544</v>
      </c>
      <c r="G260" s="40" t="s">
        <v>631</v>
      </c>
      <c r="H260" s="553" t="s">
        <v>632</v>
      </c>
      <c r="N260" s="2"/>
      <c r="O260" s="94"/>
      <c r="Q260" s="98"/>
      <c r="R260" s="98"/>
      <c r="S260" s="7"/>
    </row>
    <row r="261" spans="2:55" ht="15.75" customHeight="1" thickBot="1" x14ac:dyDescent="0.35">
      <c r="D261" s="47"/>
      <c r="N261" s="29"/>
      <c r="Q261" s="98"/>
      <c r="R261" s="98"/>
      <c r="S261" s="7"/>
    </row>
    <row r="262" spans="2:55" ht="15.75" customHeight="1" thickBot="1" x14ac:dyDescent="0.4">
      <c r="C262" s="70" t="s">
        <v>526</v>
      </c>
      <c r="F262" s="336" t="s">
        <v>463</v>
      </c>
      <c r="G262" s="337">
        <f>L79</f>
        <v>18.290203545570861</v>
      </c>
      <c r="H262" s="338" t="s">
        <v>465</v>
      </c>
      <c r="I262" s="112"/>
      <c r="N262" s="142"/>
      <c r="O262" s="142"/>
      <c r="P262" s="7"/>
      <c r="R262" s="98"/>
      <c r="S262" s="7"/>
    </row>
    <row r="263" spans="2:55" ht="15.75" hidden="1" customHeight="1" x14ac:dyDescent="0.35">
      <c r="C263" s="70"/>
      <c r="F263" s="1"/>
      <c r="G263" s="112"/>
      <c r="H263" s="112"/>
      <c r="I263" s="112"/>
      <c r="N263" s="142"/>
      <c r="O263" s="142"/>
      <c r="P263" s="7"/>
      <c r="R263" s="98"/>
      <c r="S263" s="7"/>
    </row>
    <row r="264" spans="2:55" ht="15.75" customHeight="1" x14ac:dyDescent="0.35">
      <c r="C264" s="83" t="s">
        <v>633</v>
      </c>
      <c r="D264" s="84" t="s">
        <v>634</v>
      </c>
      <c r="E264" s="86" t="s">
        <v>635</v>
      </c>
      <c r="F264" s="86" t="s">
        <v>535</v>
      </c>
      <c r="G264" s="86" t="s">
        <v>636</v>
      </c>
      <c r="H264" s="86" t="s">
        <v>538</v>
      </c>
      <c r="I264" s="86" t="s">
        <v>637</v>
      </c>
      <c r="J264" s="86" t="s">
        <v>542</v>
      </c>
      <c r="K264" s="86" t="s">
        <v>638</v>
      </c>
      <c r="L264" s="86" t="s">
        <v>543</v>
      </c>
      <c r="M264" s="86" t="s">
        <v>639</v>
      </c>
      <c r="N264" s="86" t="s">
        <v>545</v>
      </c>
      <c r="O264" s="87" t="s">
        <v>640</v>
      </c>
      <c r="P264" s="87" t="s">
        <v>547</v>
      </c>
      <c r="R264" s="98"/>
      <c r="S264" s="147"/>
      <c r="T264" s="142"/>
      <c r="U264" s="142"/>
      <c r="V264" s="142"/>
      <c r="W264" s="142"/>
      <c r="X264" s="142"/>
      <c r="Y264" s="142"/>
      <c r="Z264" s="142"/>
      <c r="AA264" s="142"/>
      <c r="AB264" s="142"/>
    </row>
    <row r="265" spans="2:55" ht="15.75" customHeight="1" x14ac:dyDescent="0.35">
      <c r="C265" s="74" t="s">
        <v>381</v>
      </c>
      <c r="D265" s="88" t="str">
        <f>AT166</f>
        <v xml:space="preserve"> 0° to 5°</v>
      </c>
      <c r="E265" s="75">
        <v>0.75</v>
      </c>
      <c r="F265" s="75">
        <v>1.1499999999999999</v>
      </c>
      <c r="G265" s="75">
        <v>-1.3</v>
      </c>
      <c r="H265" s="75">
        <v>-2</v>
      </c>
      <c r="I265" s="75">
        <v>-0.7</v>
      </c>
      <c r="J265" s="75">
        <v>-1</v>
      </c>
      <c r="K265" s="75">
        <v>-0.55000000000000004</v>
      </c>
      <c r="L265" s="75">
        <v>-0.8</v>
      </c>
      <c r="M265" s="132" t="s">
        <v>641</v>
      </c>
      <c r="N265" s="133" t="s">
        <v>641</v>
      </c>
      <c r="O265" s="133" t="s">
        <v>641</v>
      </c>
      <c r="P265" s="134" t="s">
        <v>641</v>
      </c>
      <c r="R265" s="98"/>
      <c r="S265" s="142"/>
      <c r="T265" s="142"/>
      <c r="U265" s="142"/>
      <c r="V265" s="142"/>
      <c r="W265" s="142"/>
      <c r="X265" s="142"/>
      <c r="Y265" s="142"/>
      <c r="Z265" s="142"/>
      <c r="AA265" s="142"/>
    </row>
    <row r="266" spans="2:55" ht="15.75" customHeight="1" x14ac:dyDescent="0.35">
      <c r="C266" s="77" t="s">
        <v>381</v>
      </c>
      <c r="D266" s="89" t="str">
        <f>AU166</f>
        <v xml:space="preserve"> 20°</v>
      </c>
      <c r="E266" s="78">
        <v>1</v>
      </c>
      <c r="F266" s="78">
        <v>1.5</v>
      </c>
      <c r="G266" s="78">
        <v>-1.3</v>
      </c>
      <c r="H266" s="78">
        <v>-2</v>
      </c>
      <c r="I266" s="78">
        <v>-0.9</v>
      </c>
      <c r="J266" s="78">
        <v>-1.3</v>
      </c>
      <c r="K266" s="78">
        <v>-0.8</v>
      </c>
      <c r="L266" s="78">
        <v>-1.2</v>
      </c>
      <c r="M266" s="135" t="s">
        <v>641</v>
      </c>
      <c r="N266" s="136" t="s">
        <v>641</v>
      </c>
      <c r="O266" s="136" t="s">
        <v>641</v>
      </c>
      <c r="P266" s="137" t="s">
        <v>641</v>
      </c>
      <c r="R266" s="98"/>
    </row>
    <row r="267" spans="2:55" ht="15.75" customHeight="1" x14ac:dyDescent="0.35">
      <c r="C267" s="74" t="s">
        <v>381</v>
      </c>
      <c r="D267" s="88" t="str">
        <f>AV166</f>
        <v xml:space="preserve"> 30° to 45°</v>
      </c>
      <c r="E267" s="75">
        <v>1.05</v>
      </c>
      <c r="F267" s="75">
        <v>1.3</v>
      </c>
      <c r="G267" s="75">
        <v>0.4</v>
      </c>
      <c r="H267" s="75">
        <v>0.5</v>
      </c>
      <c r="I267" s="75">
        <v>-0.8</v>
      </c>
      <c r="J267" s="75">
        <v>-1</v>
      </c>
      <c r="K267" s="75">
        <v>-0.7</v>
      </c>
      <c r="L267" s="75">
        <v>-0.9</v>
      </c>
      <c r="M267" s="132" t="s">
        <v>641</v>
      </c>
      <c r="N267" s="133" t="s">
        <v>641</v>
      </c>
      <c r="O267" s="133" t="s">
        <v>641</v>
      </c>
      <c r="P267" s="134" t="s">
        <v>641</v>
      </c>
      <c r="R267" s="98"/>
      <c r="S267" s="142"/>
      <c r="T267" s="142"/>
      <c r="U267" s="142"/>
      <c r="V267" s="142"/>
      <c r="W267" s="142"/>
    </row>
    <row r="268" spans="2:55" ht="15.75" customHeight="1" x14ac:dyDescent="0.35">
      <c r="C268" s="77" t="s">
        <v>381</v>
      </c>
      <c r="D268" s="89" t="str">
        <f>AW166</f>
        <v xml:space="preserve"> 90°</v>
      </c>
      <c r="E268" s="78">
        <v>1.05</v>
      </c>
      <c r="F268" s="78">
        <v>1.3</v>
      </c>
      <c r="G268" s="78">
        <v>1.05</v>
      </c>
      <c r="H268" s="78">
        <v>1.3</v>
      </c>
      <c r="I268" s="78">
        <v>-0.7</v>
      </c>
      <c r="J268" s="78">
        <v>-0.9</v>
      </c>
      <c r="K268" s="78">
        <v>-0.7</v>
      </c>
      <c r="L268" s="78">
        <v>-0.9</v>
      </c>
      <c r="M268" s="135" t="s">
        <v>641</v>
      </c>
      <c r="N268" s="136" t="s">
        <v>641</v>
      </c>
      <c r="O268" s="136" t="s">
        <v>641</v>
      </c>
      <c r="P268" s="137" t="s">
        <v>641</v>
      </c>
      <c r="R268" s="98"/>
      <c r="T268" s="48"/>
      <c r="V268" s="6"/>
    </row>
    <row r="269" spans="2:55" ht="15.75" customHeight="1" x14ac:dyDescent="0.35">
      <c r="C269" s="80" t="s">
        <v>550</v>
      </c>
      <c r="D269" s="90" t="str">
        <f>AX166</f>
        <v xml:space="preserve"> 0° to 90°</v>
      </c>
      <c r="E269" s="81">
        <v>-0.85</v>
      </c>
      <c r="F269" s="81">
        <v>-0.9</v>
      </c>
      <c r="G269" s="81">
        <v>-1.3</v>
      </c>
      <c r="H269" s="81">
        <v>-2</v>
      </c>
      <c r="I269" s="81">
        <v>-0.7</v>
      </c>
      <c r="J269" s="81">
        <v>-1</v>
      </c>
      <c r="K269" s="81">
        <v>-0.85</v>
      </c>
      <c r="L269" s="81">
        <v>-0.9</v>
      </c>
      <c r="M269" s="90">
        <v>0.75</v>
      </c>
      <c r="N269" s="81">
        <v>1.1499999999999999</v>
      </c>
      <c r="O269" s="81">
        <v>-0.55000000000000004</v>
      </c>
      <c r="P269" s="82">
        <v>-0.8</v>
      </c>
      <c r="R269" s="98"/>
    </row>
    <row r="270" spans="2:55" ht="15.75" customHeight="1" thickBot="1" x14ac:dyDescent="0.35">
      <c r="R270" s="98"/>
    </row>
    <row r="271" spans="2:55" ht="15.65" customHeight="1" thickBot="1" x14ac:dyDescent="0.4">
      <c r="C271" s="70"/>
      <c r="F271" s="1"/>
      <c r="G271" s="112"/>
      <c r="H271" s="112"/>
      <c r="I271" s="112"/>
      <c r="J271" s="112"/>
      <c r="K271" s="112"/>
      <c r="L271" s="7"/>
      <c r="M271" s="7"/>
      <c r="N271" s="122"/>
      <c r="O271" s="7"/>
      <c r="P271" s="7"/>
      <c r="R271" s="98"/>
      <c r="X271" s="142"/>
      <c r="Y271" s="142"/>
      <c r="Z271" s="142"/>
      <c r="AA271" s="142"/>
      <c r="AI271" s="3"/>
      <c r="BC271" s="113"/>
    </row>
    <row r="272" spans="2:55" ht="15.65" customHeight="1" thickBot="1" x14ac:dyDescent="0.35">
      <c r="E272" s="142"/>
      <c r="F272" s="160"/>
      <c r="G272" s="161"/>
      <c r="H272" s="142"/>
      <c r="I272" s="142"/>
      <c r="J272" s="147"/>
      <c r="K272" s="147"/>
      <c r="L272" s="147"/>
      <c r="M272" s="147"/>
      <c r="N272" s="162"/>
      <c r="O272" s="147"/>
      <c r="P272" s="147"/>
      <c r="Q272" s="147"/>
      <c r="R272" s="163"/>
      <c r="X272" s="142"/>
      <c r="Y272" s="142"/>
      <c r="Z272" s="142"/>
      <c r="AA272" s="142"/>
      <c r="AI272" s="3"/>
      <c r="BC272" s="113"/>
    </row>
    <row r="273" spans="2:55" ht="15.65" customHeight="1" thickBot="1" x14ac:dyDescent="0.4">
      <c r="D273" s="1114" t="s">
        <v>633</v>
      </c>
      <c r="E273" s="1115"/>
      <c r="F273" s="166" t="s">
        <v>381</v>
      </c>
      <c r="G273" s="142"/>
      <c r="H273" s="142"/>
      <c r="I273" s="147"/>
      <c r="K273" s="164"/>
      <c r="L273" s="166" t="s">
        <v>550</v>
      </c>
      <c r="M273" s="147"/>
      <c r="N273" s="2"/>
      <c r="O273" s="163"/>
      <c r="R273" s="142"/>
      <c r="S273" s="142"/>
      <c r="T273" s="142"/>
      <c r="U273" s="142"/>
      <c r="V273" s="142"/>
      <c r="W273" s="142"/>
      <c r="X273" s="142"/>
      <c r="Y273" s="142"/>
      <c r="Z273" s="142"/>
      <c r="AA273" s="142"/>
      <c r="AI273" s="3"/>
      <c r="BC273" s="113"/>
    </row>
    <row r="274" spans="2:55" ht="15.75" customHeight="1" thickBot="1" x14ac:dyDescent="0.4">
      <c r="D274" s="1114" t="s">
        <v>634</v>
      </c>
      <c r="E274" s="1115"/>
      <c r="F274" s="146" t="s">
        <v>554</v>
      </c>
      <c r="G274" s="171" t="s">
        <v>642</v>
      </c>
      <c r="H274" s="334" t="s">
        <v>643</v>
      </c>
      <c r="I274" s="647">
        <f t="array" ref="I274">INDEX($E$265:$P$269,
       SUMPRODUCT(($C$265:$C$269=$F$273)*($D$265:$D$269=$F$274)*ROW($C$265:$C$269))-ROW($C$265)+1,
       MATCH($F$275&amp;"", $E$264:$P$264&amp;"", 0))</f>
        <v>-0.55000000000000004</v>
      </c>
      <c r="K274" s="147"/>
      <c r="L274" s="169" t="s">
        <v>558</v>
      </c>
      <c r="M274" s="171" t="s">
        <v>642</v>
      </c>
      <c r="N274" s="646" t="s">
        <v>644</v>
      </c>
      <c r="O274" s="648">
        <f t="array" ref="O274">INDEX($E$265:$P$269,
       SUMPRODUCT(($C$265:$C$269=$L$273)*($D$265:$D$269=$L$274)*ROW($C$265:$C$269))-ROW($C$265)+1,
       MATCH($L$275&amp;"",$E$264:$P$264&amp;"",0))</f>
        <v>-0.7</v>
      </c>
      <c r="S274" s="147"/>
      <c r="T274" s="142"/>
      <c r="U274" s="142"/>
      <c r="V274" s="142"/>
      <c r="W274" s="142"/>
      <c r="X274" s="142"/>
      <c r="Y274" s="142"/>
      <c r="Z274" s="142"/>
      <c r="AA274" s="142"/>
      <c r="AB274" s="142"/>
      <c r="BC274" s="114"/>
    </row>
    <row r="275" spans="2:55" ht="15.75" customHeight="1" thickBot="1" x14ac:dyDescent="0.4">
      <c r="D275" s="1116" t="s">
        <v>645</v>
      </c>
      <c r="E275" s="1115"/>
      <c r="F275" s="167" t="s">
        <v>638</v>
      </c>
      <c r="G275" s="171"/>
      <c r="H275" s="172"/>
      <c r="I275" s="330"/>
      <c r="J275" s="142"/>
      <c r="K275" s="142"/>
      <c r="L275" s="146" t="s">
        <v>637</v>
      </c>
      <c r="M275" s="171"/>
      <c r="N275" s="141"/>
      <c r="O275" s="331"/>
      <c r="R275" s="142"/>
      <c r="S275" s="147"/>
      <c r="T275" s="142"/>
      <c r="U275" s="142"/>
      <c r="V275" s="142"/>
      <c r="W275" s="142"/>
      <c r="X275" s="142"/>
      <c r="Y275" s="142"/>
      <c r="Z275" s="142"/>
      <c r="AA275" s="142"/>
      <c r="AB275" s="142"/>
      <c r="BC275" s="115"/>
    </row>
    <row r="276" spans="2:55" ht="15.75" customHeight="1" thickBot="1" x14ac:dyDescent="0.4">
      <c r="B276" s="52"/>
      <c r="D276" s="3"/>
      <c r="E276" s="170"/>
      <c r="F276" s="148"/>
      <c r="G276" s="171"/>
      <c r="H276" s="172"/>
      <c r="I276" s="332"/>
      <c r="L276" s="147"/>
      <c r="M276" s="171"/>
      <c r="N276" s="141"/>
      <c r="O276" s="331"/>
      <c r="S276" s="147"/>
      <c r="T276" s="142"/>
      <c r="U276" s="142"/>
      <c r="V276" s="142"/>
      <c r="W276" s="142"/>
      <c r="X276" s="142"/>
      <c r="Y276" s="142"/>
      <c r="Z276" s="142"/>
      <c r="AA276" s="142"/>
      <c r="AB276" s="142"/>
      <c r="BC276" s="115"/>
    </row>
    <row r="277" spans="2:55" ht="15.75" customHeight="1" thickBot="1" x14ac:dyDescent="0.35">
      <c r="B277" s="52"/>
      <c r="F277" s="166" t="s">
        <v>381</v>
      </c>
      <c r="G277" s="171"/>
      <c r="H277" s="172"/>
      <c r="I277" s="330"/>
      <c r="L277" s="545" t="s">
        <v>550</v>
      </c>
      <c r="M277" s="171"/>
      <c r="N277" s="141"/>
      <c r="O277" s="331"/>
      <c r="S277" s="147"/>
      <c r="T277" s="142"/>
      <c r="U277" s="142"/>
      <c r="V277" s="142"/>
      <c r="W277" s="142"/>
      <c r="X277" s="142"/>
      <c r="Y277" s="142"/>
      <c r="Z277" s="142"/>
      <c r="AA277" s="142"/>
      <c r="AB277" s="142"/>
      <c r="BC277" s="115"/>
    </row>
    <row r="278" spans="2:55" ht="20.25" customHeight="1" thickBot="1" x14ac:dyDescent="0.4">
      <c r="B278" s="52"/>
      <c r="F278" s="146" t="s">
        <v>555</v>
      </c>
      <c r="G278" s="171" t="s">
        <v>646</v>
      </c>
      <c r="H278" s="334" t="s">
        <v>647</v>
      </c>
      <c r="I278" s="647">
        <f t="array" ref="I278">INDEX($E$265:$P$269,
SUMPRODUCT(($C$265:$C$269=F277)*($D$265:$D$269=F278)*ROW($C$265:$C$269))-ROW($C$265)+1,
MATCH($F$279&amp;"",$E$264:$P$264&amp;"",0))</f>
        <v>-0.8</v>
      </c>
      <c r="K278" s="142"/>
      <c r="L278" s="546" t="s">
        <v>558</v>
      </c>
      <c r="M278" s="171" t="s">
        <v>646</v>
      </c>
      <c r="N278" s="646" t="s">
        <v>648</v>
      </c>
      <c r="O278" s="648">
        <f t="array" ref="O278">INDEX($E$265:$P$269,
       SUMPRODUCT(($C$265:$C$269=$L$277)*($D$265:$D$269=$L$278)*ROW($C$265:$C$269))-ROW($C$265)+1,
       MATCH($L$279&amp;"",$E$264:$P$264&amp;"",0))</f>
        <v>0.75</v>
      </c>
      <c r="S278" s="147"/>
      <c r="T278" s="142"/>
      <c r="U278" s="142"/>
      <c r="V278" s="142"/>
      <c r="W278" s="142"/>
      <c r="X278" s="142"/>
      <c r="Y278" s="142"/>
      <c r="Z278" s="142"/>
      <c r="AA278" s="142"/>
      <c r="AB278" s="142"/>
      <c r="BC278" s="115"/>
    </row>
    <row r="279" spans="2:55" ht="15.75" customHeight="1" thickBot="1" x14ac:dyDescent="0.35">
      <c r="B279" s="52"/>
      <c r="F279" s="167" t="s">
        <v>638</v>
      </c>
      <c r="G279" s="142"/>
      <c r="H279" s="142"/>
      <c r="I279" s="331"/>
      <c r="K279" s="165"/>
      <c r="L279" s="547" t="s">
        <v>639</v>
      </c>
      <c r="M279" s="142"/>
      <c r="N279" s="2"/>
      <c r="O279" s="163"/>
      <c r="S279" s="147"/>
      <c r="T279" s="142"/>
      <c r="U279" s="142"/>
      <c r="V279" s="142"/>
      <c r="W279" s="142"/>
      <c r="X279" s="142"/>
      <c r="Y279" s="142"/>
      <c r="Z279" s="142"/>
      <c r="AA279" s="142"/>
      <c r="AB279" s="142"/>
      <c r="BC279" s="115"/>
    </row>
    <row r="280" spans="2:55" ht="15.75" customHeight="1" thickBot="1" x14ac:dyDescent="0.35">
      <c r="B280" s="52"/>
      <c r="F280" s="148"/>
      <c r="G280" s="142"/>
      <c r="H280" s="142"/>
      <c r="I280" s="142"/>
      <c r="K280" s="165"/>
      <c r="L280" s="148"/>
      <c r="M280" s="142"/>
      <c r="N280" s="2"/>
      <c r="O280" s="163"/>
      <c r="S280" s="147"/>
      <c r="T280" s="142"/>
      <c r="U280" s="142"/>
      <c r="V280" s="142"/>
      <c r="W280" s="142"/>
      <c r="X280" s="142"/>
      <c r="Y280" s="142"/>
      <c r="Z280" s="142"/>
      <c r="AA280" s="142"/>
      <c r="AB280" s="142"/>
      <c r="BC280" s="115"/>
    </row>
    <row r="281" spans="2:55" ht="15.75" customHeight="1" thickBot="1" x14ac:dyDescent="0.4">
      <c r="B281" s="52"/>
      <c r="F281" s="149" t="s">
        <v>649</v>
      </c>
      <c r="G281" s="168" t="s">
        <v>650</v>
      </c>
      <c r="H281" s="340">
        <f>I274 + (I278 - I274) * ((G262 - 5) / (20 - 5))</f>
        <v>-0.77150339242618104</v>
      </c>
      <c r="I281" s="142"/>
      <c r="K281" s="165"/>
      <c r="L281" s="174" t="s">
        <v>649</v>
      </c>
      <c r="M281" s="175" t="s">
        <v>650</v>
      </c>
      <c r="N281" s="339">
        <f>O274 + (O278 - O274) * ((G262 - 5) / (20 - 5))</f>
        <v>0.58471967607185005</v>
      </c>
      <c r="O281" s="163"/>
      <c r="R281" s="147"/>
      <c r="S281" s="147"/>
      <c r="T281" s="142"/>
      <c r="U281" s="142"/>
      <c r="V281" s="142"/>
      <c r="W281" s="142"/>
      <c r="X281" s="142"/>
      <c r="Y281" s="142"/>
      <c r="Z281" s="142"/>
      <c r="AA281" s="142"/>
      <c r="AB281" s="142"/>
      <c r="BC281" s="115"/>
    </row>
    <row r="282" spans="2:55" ht="15.75" customHeight="1" thickBot="1" x14ac:dyDescent="0.35">
      <c r="B282" s="102"/>
      <c r="C282" s="103"/>
      <c r="D282" s="103"/>
      <c r="E282" s="165"/>
      <c r="F282" s="177" t="s">
        <v>651</v>
      </c>
      <c r="G282" s="177"/>
      <c r="H282" s="162"/>
      <c r="K282" s="142"/>
      <c r="L282" s="176" t="s">
        <v>651</v>
      </c>
      <c r="M282" s="176"/>
      <c r="N282" s="176"/>
      <c r="O282" s="163"/>
      <c r="R282" s="163"/>
      <c r="S282" s="7"/>
      <c r="AP282" s="2"/>
      <c r="BC282" s="115"/>
    </row>
    <row r="283" spans="2:55" ht="15.65" customHeight="1" x14ac:dyDescent="0.3">
      <c r="B283" s="102"/>
      <c r="C283" s="103"/>
      <c r="D283" s="103"/>
      <c r="E283" s="165"/>
      <c r="F283" s="177"/>
      <c r="G283" s="177"/>
      <c r="H283" s="162"/>
      <c r="K283" s="142"/>
      <c r="L283" s="176"/>
      <c r="M283" s="176"/>
      <c r="N283" s="176"/>
      <c r="O283" s="163"/>
      <c r="R283" s="163"/>
      <c r="S283" s="7"/>
      <c r="AO283" s="92"/>
    </row>
    <row r="284" spans="2:55" ht="15.65" customHeight="1" x14ac:dyDescent="0.3">
      <c r="B284" s="102"/>
      <c r="C284" s="103"/>
      <c r="D284" s="103"/>
      <c r="E284" s="165"/>
      <c r="F284" s="177"/>
      <c r="G284" s="177"/>
      <c r="H284" s="162"/>
      <c r="K284" s="142"/>
      <c r="L284" s="176"/>
      <c r="M284" s="176"/>
      <c r="N284" s="176"/>
      <c r="O284" s="163"/>
      <c r="R284" s="163"/>
      <c r="S284" s="7"/>
    </row>
    <row r="285" spans="2:55" ht="15.65" customHeight="1" x14ac:dyDescent="0.3">
      <c r="B285" s="102"/>
      <c r="C285" s="103"/>
      <c r="D285" s="103"/>
      <c r="E285" s="165"/>
      <c r="F285" s="177"/>
      <c r="G285" s="177"/>
      <c r="H285" s="162"/>
      <c r="K285" s="142"/>
      <c r="L285" s="176"/>
      <c r="M285" s="176"/>
      <c r="N285" s="176"/>
      <c r="O285" s="163"/>
      <c r="R285" s="163"/>
    </row>
    <row r="286" spans="2:55" ht="15.65" customHeight="1" x14ac:dyDescent="0.3">
      <c r="B286" s="102"/>
      <c r="C286" s="103"/>
      <c r="D286" s="103"/>
      <c r="E286" s="428" t="s">
        <v>652</v>
      </c>
      <c r="F286" s="542" t="s">
        <v>653</v>
      </c>
      <c r="G286" s="543">
        <f>L129*L139*L358*L177</f>
        <v>0.36813522240642971</v>
      </c>
      <c r="H286" s="406" t="s">
        <v>654</v>
      </c>
      <c r="I286" s="407"/>
      <c r="K286" s="422"/>
      <c r="L286" s="73" t="s">
        <v>655</v>
      </c>
      <c r="M286" s="418" t="s">
        <v>656</v>
      </c>
      <c r="N286" s="544">
        <f>L129*L139*L358*L177</f>
        <v>0.36813522240642971</v>
      </c>
      <c r="O286" s="427" t="s">
        <v>657</v>
      </c>
      <c r="P286" s="426"/>
      <c r="R286" s="163"/>
      <c r="S286" s="7"/>
      <c r="AS286" s="349"/>
      <c r="AT286" s="349"/>
      <c r="AU286" s="349"/>
      <c r="AV286" s="349"/>
      <c r="AW286" s="349"/>
      <c r="AX286" s="349"/>
    </row>
    <row r="287" spans="2:55" ht="15.65" customHeight="1" x14ac:dyDescent="0.3">
      <c r="B287" s="102"/>
      <c r="C287" s="103"/>
      <c r="D287" s="103"/>
      <c r="E287" s="405"/>
      <c r="F287" s="413" t="s">
        <v>422</v>
      </c>
      <c r="G287" s="405">
        <f>G286*H281</f>
        <v>-0.28401757295812718</v>
      </c>
      <c r="H287" s="412" t="s">
        <v>366</v>
      </c>
      <c r="I287" s="405"/>
      <c r="K287" s="419"/>
      <c r="L287" s="419"/>
      <c r="M287" s="425" t="s">
        <v>422</v>
      </c>
      <c r="N287" s="405">
        <f>N286*N281</f>
        <v>0.21525590799612604</v>
      </c>
      <c r="O287" s="412" t="s">
        <v>658</v>
      </c>
      <c r="P287" s="405"/>
      <c r="R287" s="163"/>
      <c r="S287" s="7"/>
      <c r="AS287" s="349"/>
      <c r="AT287" s="349"/>
      <c r="AU287" s="349"/>
      <c r="AV287" s="349"/>
      <c r="AW287" s="349"/>
      <c r="AX287" s="349"/>
    </row>
    <row r="288" spans="2:55" ht="15.75" customHeight="1" x14ac:dyDescent="0.35">
      <c r="B288" s="102"/>
      <c r="C288" s="103"/>
      <c r="D288" s="103"/>
      <c r="E288" s="405"/>
      <c r="F288" s="405"/>
      <c r="G288" s="405"/>
      <c r="I288" s="405"/>
      <c r="J288" s="405"/>
      <c r="K288" s="405"/>
      <c r="L288" s="405"/>
      <c r="M288" s="414"/>
      <c r="N288" s="415"/>
      <c r="O288" s="416"/>
      <c r="P288" s="405"/>
      <c r="R288" s="163"/>
      <c r="AQ288" s="349"/>
      <c r="AR288" s="349"/>
      <c r="AS288" s="349"/>
      <c r="AT288" s="349"/>
      <c r="AU288" s="349"/>
      <c r="AV288" s="349"/>
      <c r="AW288" s="349"/>
      <c r="AX288" s="349"/>
    </row>
    <row r="289" spans="2:50" ht="15.75" customHeight="1" x14ac:dyDescent="0.35">
      <c r="B289" s="102"/>
      <c r="C289" s="103"/>
      <c r="D289" s="103"/>
      <c r="E289" s="405"/>
      <c r="F289" s="405"/>
      <c r="G289" s="408"/>
      <c r="H289" s="409"/>
      <c r="I289" s="410"/>
      <c r="J289" s="411"/>
      <c r="K289" s="405"/>
      <c r="L289" s="405"/>
      <c r="N289" s="417"/>
      <c r="O289" s="420"/>
      <c r="P289" s="421"/>
      <c r="R289" s="163"/>
      <c r="S289" s="30"/>
      <c r="T289" s="6"/>
      <c r="U289" s="6"/>
      <c r="X289" s="30"/>
      <c r="AQ289" s="349"/>
      <c r="AR289" s="349"/>
      <c r="AS289" s="349"/>
      <c r="AT289" s="349"/>
      <c r="AU289" s="349"/>
      <c r="AV289" s="349"/>
      <c r="AW289" s="349"/>
      <c r="AX289" s="349"/>
    </row>
    <row r="290" spans="2:50" ht="15.75" customHeight="1" x14ac:dyDescent="0.35">
      <c r="O290" s="48"/>
      <c r="Q290" s="98"/>
      <c r="R290" s="98"/>
      <c r="S290" s="30"/>
      <c r="T290" s="6"/>
      <c r="U290" s="6"/>
      <c r="X290" s="30"/>
      <c r="AQ290" s="349"/>
      <c r="AR290" s="349"/>
    </row>
    <row r="291" spans="2:50" ht="15.75" hidden="1" customHeight="1" x14ac:dyDescent="0.3">
      <c r="C291" s="119" t="s">
        <v>659</v>
      </c>
      <c r="D291" s="116"/>
      <c r="E291" s="116"/>
      <c r="S291" s="30"/>
      <c r="T291" s="6"/>
      <c r="U291" s="6"/>
      <c r="X291" s="30"/>
      <c r="AJ291" s="2"/>
      <c r="AK291" s="2"/>
      <c r="AL291" s="2"/>
      <c r="AM291" s="2"/>
      <c r="AN291" s="2"/>
      <c r="AO291" s="2"/>
      <c r="AP291" s="2"/>
      <c r="AQ291" s="349"/>
      <c r="AR291" s="349"/>
    </row>
    <row r="292" spans="2:50" ht="15.75" hidden="1" customHeight="1" x14ac:dyDescent="0.35">
      <c r="C292" s="119" t="s">
        <v>660</v>
      </c>
      <c r="D292" s="116"/>
      <c r="E292" s="116"/>
      <c r="F292" s="116"/>
      <c r="G292" s="116"/>
      <c r="H292" s="116"/>
      <c r="I292" s="116"/>
      <c r="J292" s="116"/>
      <c r="K292" s="116"/>
      <c r="L292" s="116"/>
      <c r="M292" s="116"/>
      <c r="O292" s="48"/>
      <c r="R292" s="98"/>
      <c r="T292" s="48"/>
      <c r="V292" s="6"/>
      <c r="W292" s="6"/>
    </row>
    <row r="293" spans="2:50" ht="15.75" customHeight="1" x14ac:dyDescent="0.3">
      <c r="R293" s="98"/>
    </row>
    <row r="294" spans="2:50" ht="15.75" customHeight="1" x14ac:dyDescent="0.3">
      <c r="R294" s="98"/>
    </row>
    <row r="295" spans="2:50" ht="15.75" customHeight="1" x14ac:dyDescent="0.35">
      <c r="C295" s="70" t="s">
        <v>661</v>
      </c>
      <c r="R295" s="98"/>
    </row>
    <row r="296" spans="2:50" ht="15.75" customHeight="1" x14ac:dyDescent="0.3"/>
    <row r="297" spans="2:50" ht="15.75" customHeight="1" x14ac:dyDescent="0.45">
      <c r="C297" s="48"/>
      <c r="D297" s="424" t="s">
        <v>653</v>
      </c>
      <c r="E297" s="423" t="s">
        <v>662</v>
      </c>
      <c r="G297" s="3"/>
      <c r="Q297" s="98"/>
      <c r="R297" s="48"/>
    </row>
    <row r="298" spans="2:50" ht="15.75" customHeight="1" x14ac:dyDescent="0.35">
      <c r="C298" s="48"/>
      <c r="D298" s="180"/>
      <c r="E298" s="181"/>
      <c r="G298" s="3"/>
      <c r="Q298" s="98"/>
      <c r="R298" s="48"/>
    </row>
    <row r="299" spans="2:50" ht="15.75" customHeight="1" x14ac:dyDescent="0.35">
      <c r="C299" s="48"/>
      <c r="D299" s="180"/>
      <c r="E299" s="181"/>
      <c r="G299" s="3"/>
      <c r="Q299" s="98"/>
      <c r="R299" s="48"/>
    </row>
    <row r="300" spans="2:50" ht="15.75" customHeight="1" x14ac:dyDescent="0.35">
      <c r="D300" s="143"/>
      <c r="E300" s="183"/>
      <c r="F300" s="49"/>
      <c r="G300" s="49"/>
      <c r="H300" s="49"/>
      <c r="I300" s="49"/>
      <c r="J300" s="49"/>
      <c r="K300" s="49"/>
      <c r="L300" s="49"/>
      <c r="M300" s="49"/>
      <c r="Q300" s="98"/>
    </row>
    <row r="301" spans="2:50" ht="15.75" customHeight="1" x14ac:dyDescent="0.35">
      <c r="C301" s="346" t="s">
        <v>663</v>
      </c>
      <c r="D301" s="347"/>
      <c r="E301" s="347"/>
      <c r="F301" s="348"/>
      <c r="G301" s="27"/>
      <c r="N301" s="2"/>
    </row>
    <row r="302" spans="2:50" ht="15.75" customHeight="1" x14ac:dyDescent="0.35">
      <c r="D302" s="42"/>
      <c r="E302" s="42"/>
      <c r="G302" s="27"/>
    </row>
    <row r="303" spans="2:50" ht="15.75" customHeight="1" x14ac:dyDescent="0.35">
      <c r="D303" s="143"/>
      <c r="E303" s="345"/>
      <c r="F303" s="49"/>
      <c r="G303" s="104"/>
      <c r="H303" s="104"/>
      <c r="I303" s="104"/>
      <c r="J303" s="104"/>
      <c r="K303" s="104"/>
      <c r="L303" s="49"/>
    </row>
    <row r="304" spans="2:50" ht="15.75" customHeight="1" x14ac:dyDescent="0.35">
      <c r="D304" s="143"/>
      <c r="E304" s="345"/>
      <c r="F304" s="182"/>
      <c r="G304" s="104"/>
      <c r="H304" s="104"/>
      <c r="I304" s="104"/>
      <c r="J304" s="104"/>
      <c r="K304" s="49"/>
      <c r="L304" s="3"/>
    </row>
    <row r="305" spans="3:23" ht="15.75" customHeight="1" x14ac:dyDescent="0.35">
      <c r="D305" s="143"/>
      <c r="E305" s="345"/>
      <c r="F305" s="49"/>
      <c r="G305" s="104"/>
      <c r="H305" s="49"/>
      <c r="I305" s="49"/>
      <c r="J305" s="49"/>
      <c r="K305" s="49"/>
      <c r="L305" s="49"/>
    </row>
    <row r="306" spans="3:23" ht="15.75" customHeight="1" x14ac:dyDescent="0.35">
      <c r="T306" s="48"/>
      <c r="V306" s="6"/>
      <c r="W306" s="6"/>
    </row>
    <row r="307" spans="3:23" ht="15.75" customHeight="1" x14ac:dyDescent="0.35">
      <c r="T307" s="48"/>
      <c r="V307" s="6"/>
      <c r="W307" s="6"/>
    </row>
    <row r="308" spans="3:23" ht="15.75" customHeight="1" x14ac:dyDescent="0.35">
      <c r="C308" s="346" t="s">
        <v>664</v>
      </c>
      <c r="D308" s="347"/>
      <c r="E308" s="347"/>
      <c r="F308" s="348"/>
      <c r="T308" s="48"/>
      <c r="V308" s="6"/>
      <c r="W308" s="6"/>
    </row>
    <row r="309" spans="3:23" ht="15.75" customHeight="1" x14ac:dyDescent="0.35">
      <c r="C309" s="344"/>
      <c r="D309" s="44"/>
      <c r="E309" s="40"/>
      <c r="G309" s="3"/>
      <c r="T309" s="48"/>
      <c r="V309" s="6"/>
      <c r="W309" s="6"/>
    </row>
    <row r="310" spans="3:23" ht="15.75" customHeight="1" x14ac:dyDescent="0.35">
      <c r="M310" s="49"/>
      <c r="N310" s="128"/>
      <c r="T310" s="48"/>
      <c r="V310" s="6"/>
      <c r="W310" s="6"/>
    </row>
    <row r="311" spans="3:23" ht="15.75" customHeight="1" x14ac:dyDescent="0.35">
      <c r="N311" s="2"/>
      <c r="T311" s="48"/>
      <c r="V311" s="6"/>
      <c r="W311" s="6"/>
    </row>
    <row r="312" spans="3:23" ht="15.75" customHeight="1" x14ac:dyDescent="0.35">
      <c r="N312" s="2"/>
      <c r="T312" s="48"/>
      <c r="V312" s="6"/>
      <c r="W312" s="6"/>
    </row>
    <row r="313" spans="3:23" ht="15.75" customHeight="1" x14ac:dyDescent="0.35">
      <c r="N313" s="2"/>
      <c r="T313" s="48"/>
      <c r="V313" s="6"/>
      <c r="W313" s="6"/>
    </row>
    <row r="314" spans="3:23" ht="15.75" customHeight="1" x14ac:dyDescent="0.35">
      <c r="N314" s="2"/>
      <c r="Q314" s="98"/>
      <c r="T314" s="48"/>
      <c r="V314" s="6"/>
      <c r="W314" s="6"/>
    </row>
    <row r="315" spans="3:23" ht="15.75" customHeight="1" x14ac:dyDescent="0.35">
      <c r="C315" s="346" t="s">
        <v>665</v>
      </c>
      <c r="D315" s="347"/>
      <c r="E315" s="347"/>
      <c r="F315" s="348"/>
      <c r="H315" s="48"/>
      <c r="J315" s="6"/>
      <c r="K315" s="6"/>
      <c r="N315" s="2"/>
      <c r="T315" s="48"/>
      <c r="V315" s="6"/>
      <c r="W315" s="6"/>
    </row>
    <row r="316" spans="3:23" ht="15.75" customHeight="1" x14ac:dyDescent="0.35">
      <c r="E316" s="98"/>
      <c r="H316" s="48"/>
      <c r="J316" s="6"/>
      <c r="K316" s="6"/>
      <c r="N316" s="2"/>
      <c r="T316" s="48"/>
      <c r="V316" s="6"/>
      <c r="W316" s="6"/>
    </row>
    <row r="317" spans="3:23" ht="15.75" customHeight="1" x14ac:dyDescent="0.35">
      <c r="N317" s="2"/>
      <c r="T317" s="48"/>
      <c r="V317" s="6"/>
      <c r="W317" s="6"/>
    </row>
    <row r="318" spans="3:23" ht="15.75" customHeight="1" x14ac:dyDescent="0.35">
      <c r="N318" s="2"/>
      <c r="T318" s="48"/>
      <c r="V318" s="6"/>
      <c r="W318" s="6"/>
    </row>
    <row r="319" spans="3:23" ht="15.75" customHeight="1" x14ac:dyDescent="0.35">
      <c r="N319" s="2"/>
      <c r="T319" s="48"/>
      <c r="V319" s="6"/>
      <c r="W319" s="6"/>
    </row>
    <row r="320" spans="3:23" ht="15.75" customHeight="1" x14ac:dyDescent="0.35">
      <c r="E320" s="98"/>
      <c r="H320" s="48"/>
      <c r="J320" s="6"/>
      <c r="K320" s="6"/>
      <c r="N320" s="2"/>
      <c r="T320" s="48"/>
      <c r="V320" s="6"/>
      <c r="W320" s="6"/>
    </row>
    <row r="321" spans="3:23" ht="15.75" customHeight="1" x14ac:dyDescent="0.35">
      <c r="E321" s="98"/>
      <c r="H321" s="48"/>
      <c r="J321" s="6"/>
      <c r="K321" s="6"/>
      <c r="N321" s="2"/>
    </row>
    <row r="322" spans="3:23" ht="15.75" customHeight="1" x14ac:dyDescent="0.35">
      <c r="C322" s="346" t="s">
        <v>666</v>
      </c>
      <c r="D322" s="347"/>
      <c r="E322" s="347"/>
      <c r="F322" s="348"/>
      <c r="G322" s="30"/>
      <c r="H322" s="6"/>
      <c r="I322" s="6"/>
      <c r="L322" s="30"/>
      <c r="N322" s="2"/>
    </row>
    <row r="323" spans="3:23" ht="15.75" customHeight="1" x14ac:dyDescent="0.35">
      <c r="E323" s="98"/>
      <c r="F323" s="48"/>
      <c r="G323" s="30"/>
      <c r="H323" s="6"/>
      <c r="I323" s="6"/>
      <c r="L323" s="30"/>
      <c r="N323" s="2"/>
    </row>
    <row r="324" spans="3:23" ht="15.75" customHeight="1" x14ac:dyDescent="0.35">
      <c r="N324" s="2"/>
      <c r="T324" s="48"/>
      <c r="V324" s="6"/>
      <c r="W324" s="6"/>
    </row>
    <row r="325" spans="3:23" ht="15.75" customHeight="1" x14ac:dyDescent="0.35">
      <c r="N325" s="2"/>
      <c r="T325" s="48"/>
      <c r="V325" s="6"/>
      <c r="W325" s="6"/>
    </row>
    <row r="326" spans="3:23" ht="17.25" customHeight="1" x14ac:dyDescent="0.35">
      <c r="N326" s="2"/>
      <c r="T326" s="48"/>
      <c r="V326" s="6"/>
      <c r="W326" s="6"/>
    </row>
    <row r="327" spans="3:23" ht="15.75" customHeight="1" x14ac:dyDescent="0.35">
      <c r="E327" s="98"/>
      <c r="H327" s="48"/>
      <c r="J327" s="6"/>
      <c r="K327" s="6"/>
      <c r="N327" s="2"/>
      <c r="T327" s="48"/>
      <c r="V327" s="6"/>
      <c r="W327" s="6"/>
    </row>
    <row r="328" spans="3:23" ht="15.75" customHeight="1" x14ac:dyDescent="0.35">
      <c r="Q328" s="98"/>
      <c r="T328" s="48"/>
      <c r="V328" s="6"/>
      <c r="W328" s="6"/>
    </row>
    <row r="329" spans="3:23" ht="15.75" customHeight="1" x14ac:dyDescent="0.35">
      <c r="D329" s="143"/>
      <c r="E329" s="345"/>
      <c r="F329" s="49"/>
      <c r="G329" s="104"/>
      <c r="H329" s="49"/>
      <c r="I329" s="49"/>
      <c r="J329" s="49"/>
      <c r="K329" s="49"/>
      <c r="L329" s="49"/>
      <c r="T329" s="48"/>
      <c r="V329" s="6"/>
      <c r="W329" s="6"/>
    </row>
    <row r="330" spans="3:23" ht="15.75" customHeight="1" x14ac:dyDescent="0.35">
      <c r="D330" s="143"/>
      <c r="E330" s="345"/>
      <c r="F330" s="49"/>
      <c r="G330" s="104"/>
      <c r="H330" s="49"/>
      <c r="I330" s="49"/>
      <c r="J330" s="49"/>
      <c r="K330" s="49"/>
      <c r="L330" s="49"/>
      <c r="T330" s="48"/>
      <c r="V330" s="6"/>
      <c r="W330" s="6"/>
    </row>
    <row r="331" spans="3:23" ht="15.75" hidden="1" customHeight="1" x14ac:dyDescent="0.4">
      <c r="C331" s="1129" t="s">
        <v>667</v>
      </c>
      <c r="D331" s="1098"/>
      <c r="E331" s="1098"/>
      <c r="G331" s="27"/>
      <c r="T331" s="48"/>
      <c r="V331" s="6"/>
      <c r="W331" s="6"/>
    </row>
    <row r="332" spans="3:23" ht="15.75" hidden="1" customHeight="1" x14ac:dyDescent="0.35">
      <c r="J332" s="30"/>
      <c r="Q332" s="98"/>
      <c r="T332" s="48"/>
      <c r="V332" s="6"/>
      <c r="W332" s="6"/>
    </row>
    <row r="333" spans="3:23" ht="15.75" hidden="1" customHeight="1" x14ac:dyDescent="0.35">
      <c r="C333" s="104"/>
      <c r="D333" s="49"/>
      <c r="E333" s="49"/>
      <c r="F333" s="49"/>
      <c r="G333" s="49"/>
      <c r="H333" s="49"/>
      <c r="I333" s="49"/>
      <c r="J333" s="30"/>
      <c r="Q333" s="98"/>
      <c r="T333" s="48"/>
      <c r="V333" s="6"/>
      <c r="W333" s="6"/>
    </row>
    <row r="334" spans="3:23" ht="15.75" hidden="1" customHeight="1" x14ac:dyDescent="0.35">
      <c r="E334" s="360" t="s">
        <v>668</v>
      </c>
      <c r="F334" s="361"/>
      <c r="G334" s="52"/>
      <c r="H334" s="7"/>
      <c r="Q334" s="98"/>
      <c r="T334" s="48"/>
      <c r="V334" s="6"/>
      <c r="W334" s="6"/>
    </row>
    <row r="335" spans="3:23" ht="15.75" hidden="1" customHeight="1" x14ac:dyDescent="0.35">
      <c r="H335" s="3"/>
      <c r="Q335" s="98"/>
      <c r="T335" s="48"/>
      <c r="V335" s="6"/>
      <c r="W335" s="6"/>
    </row>
    <row r="336" spans="3:23" ht="15.75" hidden="1" customHeight="1" x14ac:dyDescent="0.35">
      <c r="C336" s="362"/>
      <c r="D336" s="1126" t="s">
        <v>669</v>
      </c>
      <c r="E336" s="1098"/>
      <c r="I336" s="353" t="s">
        <v>520</v>
      </c>
      <c r="Q336" s="98"/>
      <c r="T336" s="48"/>
      <c r="V336" s="6"/>
      <c r="W336" s="6"/>
    </row>
    <row r="337" spans="2:23" ht="15.75" hidden="1" customHeight="1" x14ac:dyDescent="0.35">
      <c r="I337" s="150"/>
      <c r="Q337" s="98"/>
      <c r="T337" s="48"/>
      <c r="V337" s="6"/>
      <c r="W337" s="6"/>
    </row>
    <row r="338" spans="2:23" ht="15.75" hidden="1" customHeight="1" x14ac:dyDescent="0.35">
      <c r="C338" s="52" t="s">
        <v>670</v>
      </c>
      <c r="Q338" s="98"/>
      <c r="T338" s="48"/>
      <c r="V338" s="6"/>
      <c r="W338" s="6"/>
    </row>
    <row r="339" spans="2:23" ht="15.75" hidden="1" customHeight="1" x14ac:dyDescent="0.35">
      <c r="D339" s="52" t="s">
        <v>546</v>
      </c>
      <c r="I339" s="2" t="s">
        <v>671</v>
      </c>
      <c r="Q339" s="98"/>
      <c r="T339" s="48"/>
      <c r="V339" s="6"/>
      <c r="W339" s="6"/>
    </row>
    <row r="340" spans="2:23" ht="15.75" hidden="1" customHeight="1" x14ac:dyDescent="0.35">
      <c r="D340" s="44" t="s">
        <v>653</v>
      </c>
      <c r="E340" s="43">
        <f>L129*L139*L167*L177*H281</f>
        <v>-0.28401757295812718</v>
      </c>
      <c r="G340" s="27" t="s">
        <v>672</v>
      </c>
      <c r="I340" s="2" t="s">
        <v>673</v>
      </c>
      <c r="Q340" s="98"/>
      <c r="T340" s="48"/>
      <c r="V340" s="6"/>
      <c r="W340" s="6"/>
    </row>
    <row r="341" spans="2:23" ht="15.75" customHeight="1" x14ac:dyDescent="0.35">
      <c r="D341" s="44" t="s">
        <v>653</v>
      </c>
      <c r="E341" s="43">
        <f>L129*L139*L167*L177*N281</f>
        <v>0.21525590799612604</v>
      </c>
      <c r="G341" s="27" t="s">
        <v>674</v>
      </c>
      <c r="I341" s="2" t="s">
        <v>671</v>
      </c>
      <c r="Q341" s="98"/>
      <c r="T341" s="48"/>
      <c r="V341" s="6"/>
      <c r="W341" s="6"/>
    </row>
    <row r="342" spans="2:23" ht="15.75" customHeight="1" x14ac:dyDescent="0.35">
      <c r="D342" s="44" t="s">
        <v>653</v>
      </c>
      <c r="E342" s="43">
        <f>L129*L139*L167*L177*H281</f>
        <v>-0.28401757295812718</v>
      </c>
      <c r="G342" s="27" t="s">
        <v>672</v>
      </c>
      <c r="I342" s="2" t="s">
        <v>673</v>
      </c>
      <c r="Q342" s="98"/>
      <c r="T342" s="48"/>
      <c r="V342" s="6"/>
      <c r="W342" s="6"/>
    </row>
    <row r="343" spans="2:23" ht="15.75" customHeight="1" x14ac:dyDescent="0.35">
      <c r="D343" s="44" t="s">
        <v>653</v>
      </c>
      <c r="E343" s="43">
        <f>L129*L139*L167*L177*N281</f>
        <v>0.21525590799612604</v>
      </c>
      <c r="G343" s="27" t="s">
        <v>675</v>
      </c>
      <c r="I343" s="2" t="s">
        <v>671</v>
      </c>
      <c r="Q343" s="98"/>
      <c r="T343" s="48"/>
      <c r="V343" s="6"/>
      <c r="W343" s="6"/>
    </row>
    <row r="344" spans="2:23" ht="15.75" customHeight="1" x14ac:dyDescent="0.35">
      <c r="D344" s="44" t="s">
        <v>653</v>
      </c>
      <c r="E344" s="43">
        <f>L129*L139*L167*L177*H281</f>
        <v>-0.28401757295812718</v>
      </c>
      <c r="G344" s="27" t="s">
        <v>676</v>
      </c>
      <c r="I344" s="2" t="s">
        <v>673</v>
      </c>
      <c r="Q344" s="98"/>
      <c r="T344" s="48"/>
      <c r="V344" s="6"/>
      <c r="W344" s="6"/>
    </row>
    <row r="345" spans="2:23" ht="15.75" customHeight="1" x14ac:dyDescent="0.35">
      <c r="D345" s="44" t="s">
        <v>653</v>
      </c>
      <c r="E345" s="43">
        <f>L129*L139*L167*L177*N281</f>
        <v>0.21525590799612604</v>
      </c>
      <c r="G345" s="27" t="s">
        <v>677</v>
      </c>
      <c r="I345" s="2" t="s">
        <v>671</v>
      </c>
      <c r="Q345" s="98"/>
      <c r="T345" s="48"/>
      <c r="V345" s="6"/>
      <c r="W345" s="6"/>
    </row>
    <row r="346" spans="2:23" ht="15.75" customHeight="1" x14ac:dyDescent="0.35">
      <c r="D346" s="44" t="s">
        <v>653</v>
      </c>
      <c r="E346" s="43">
        <f>L129*L139*L167*L177*H281</f>
        <v>-0.28401757295812718</v>
      </c>
      <c r="G346" s="27" t="s">
        <v>677</v>
      </c>
      <c r="I346" s="2" t="s">
        <v>673</v>
      </c>
      <c r="Q346" s="98"/>
      <c r="T346" s="48"/>
      <c r="V346" s="6"/>
      <c r="W346" s="6"/>
    </row>
    <row r="347" spans="2:23" ht="15.75" customHeight="1" x14ac:dyDescent="0.35">
      <c r="D347" s="44" t="s">
        <v>653</v>
      </c>
      <c r="E347" s="43">
        <f>L129*L139*L167*L177*N281</f>
        <v>0.21525590799612604</v>
      </c>
      <c r="G347" s="130" t="s">
        <v>678</v>
      </c>
      <c r="H347" s="131"/>
      <c r="I347" s="2" t="s">
        <v>671</v>
      </c>
      <c r="Q347" s="98"/>
      <c r="T347" s="48"/>
      <c r="V347" s="6"/>
      <c r="W347" s="6"/>
    </row>
    <row r="348" spans="2:23" ht="15.75" customHeight="1" x14ac:dyDescent="0.35">
      <c r="D348" s="44" t="s">
        <v>653</v>
      </c>
      <c r="E348" s="43">
        <f>L129*L139*L167*L177*H281</f>
        <v>-0.28401757295812718</v>
      </c>
      <c r="G348" s="130" t="s">
        <v>678</v>
      </c>
      <c r="H348" s="131"/>
      <c r="I348" s="2" t="s">
        <v>673</v>
      </c>
      <c r="Q348" s="98"/>
      <c r="T348" s="48"/>
      <c r="V348" s="6"/>
      <c r="W348" s="6"/>
    </row>
    <row r="349" spans="2:23" ht="15.75" customHeight="1" thickBot="1" x14ac:dyDescent="0.4">
      <c r="C349" s="52" t="s">
        <v>679</v>
      </c>
      <c r="D349" s="101"/>
      <c r="E349" s="52"/>
      <c r="Q349" s="98"/>
      <c r="T349" s="48"/>
      <c r="V349" s="6"/>
      <c r="W349" s="6"/>
    </row>
    <row r="350" spans="2:23" ht="15.75" customHeight="1" thickBot="1" x14ac:dyDescent="0.4">
      <c r="B350" s="52" t="s">
        <v>466</v>
      </c>
      <c r="C350" s="2" t="s">
        <v>680</v>
      </c>
      <c r="D350" s="554"/>
      <c r="E350" s="555"/>
      <c r="F350" s="1111" t="s">
        <v>681</v>
      </c>
      <c r="G350" s="1110"/>
      <c r="H350" s="557"/>
      <c r="I350" s="354" t="b">
        <f>IF(D149&gt;20, TRUE, FALSE)</f>
        <v>0</v>
      </c>
      <c r="Q350" s="98"/>
      <c r="T350" s="48"/>
      <c r="V350" s="6"/>
      <c r="W350" s="6"/>
    </row>
    <row r="351" spans="2:23" ht="15.75" customHeight="1" x14ac:dyDescent="0.35">
      <c r="C351" s="52"/>
      <c r="D351" s="101"/>
      <c r="E351" s="52"/>
      <c r="F351" s="44"/>
      <c r="G351" s="130"/>
      <c r="H351" s="131"/>
      <c r="Q351" s="98"/>
      <c r="T351" s="48"/>
      <c r="V351" s="6"/>
      <c r="W351" s="6"/>
    </row>
    <row r="352" spans="2:23" ht="15.75" customHeight="1" x14ac:dyDescent="0.35">
      <c r="C352" s="131" t="s">
        <v>682</v>
      </c>
      <c r="D352" s="556"/>
      <c r="E352" s="356"/>
      <c r="G352" s="148">
        <f>O15/2</f>
        <v>2.5</v>
      </c>
      <c r="H352" s="333" t="s">
        <v>683</v>
      </c>
      <c r="Q352" s="98"/>
      <c r="T352" s="48"/>
      <c r="V352" s="6"/>
      <c r="W352" s="6"/>
    </row>
    <row r="353" spans="3:24" ht="15.75" customHeight="1" x14ac:dyDescent="0.35">
      <c r="C353" s="52"/>
      <c r="D353" s="101"/>
      <c r="E353" s="52"/>
      <c r="F353" s="44"/>
      <c r="G353" s="130"/>
      <c r="H353" s="131"/>
      <c r="Q353" s="98"/>
      <c r="T353" s="48"/>
      <c r="V353" s="38"/>
      <c r="W353" s="38"/>
      <c r="X353" s="38"/>
    </row>
    <row r="354" spans="3:24" ht="15.75" customHeight="1" thickBot="1" x14ac:dyDescent="0.4">
      <c r="C354" s="52"/>
      <c r="D354" s="101"/>
      <c r="Q354" s="98"/>
      <c r="T354" s="48"/>
      <c r="V354" s="38"/>
      <c r="W354" s="38"/>
      <c r="X354" s="38"/>
    </row>
    <row r="355" spans="3:24" ht="15.75" customHeight="1" thickBot="1" x14ac:dyDescent="0.4">
      <c r="C355" s="52"/>
      <c r="D355" s="152" t="s">
        <v>684</v>
      </c>
      <c r="E355" s="153"/>
      <c r="F355" s="151"/>
      <c r="I355" s="355" t="str">
        <f>IF(I350 = FALSE, "N/A", VLOOKUP(I336,AI145:AO146,7,FALSE))</f>
        <v>N/A</v>
      </c>
      <c r="Q355" s="98"/>
      <c r="T355" s="48"/>
      <c r="V355" s="38"/>
      <c r="W355" s="38"/>
      <c r="X355" s="38"/>
    </row>
    <row r="356" spans="3:24" ht="15.75" customHeight="1" x14ac:dyDescent="0.35">
      <c r="C356" s="52"/>
      <c r="D356" s="101"/>
      <c r="E356" s="52"/>
      <c r="F356" s="44"/>
      <c r="G356" s="130"/>
      <c r="H356" s="131"/>
      <c r="Q356" s="98"/>
      <c r="T356" s="48"/>
      <c r="V356" s="38"/>
      <c r="W356" s="38"/>
      <c r="X356" s="38"/>
    </row>
    <row r="357" spans="3:24" ht="18" customHeight="1" thickBot="1" x14ac:dyDescent="0.4">
      <c r="C357" s="272"/>
      <c r="D357" s="271"/>
      <c r="E357" s="271"/>
      <c r="Q357" s="98"/>
      <c r="T357" s="48"/>
      <c r="V357" s="38"/>
      <c r="W357" s="38"/>
      <c r="X357" s="38"/>
    </row>
    <row r="358" spans="3:24" ht="15.75" customHeight="1" thickBot="1" x14ac:dyDescent="0.4">
      <c r="C358" s="376" t="s">
        <v>470</v>
      </c>
      <c r="D358" s="377" t="s">
        <v>685</v>
      </c>
      <c r="E358" s="378"/>
      <c r="F358" s="30"/>
      <c r="G358" s="30"/>
      <c r="H358" s="131"/>
      <c r="I358" s="354" t="b">
        <f>IF(D149 &gt;= 6, TRUE, FALSE)</f>
        <v>1</v>
      </c>
      <c r="K358" s="357" t="s">
        <v>686</v>
      </c>
      <c r="L358" s="352">
        <f>IF(I358 = FALSE, "N/A", VLOOKUP(I336,AI145:AO146,7,FALSE))</f>
        <v>1.0518149211612278</v>
      </c>
      <c r="Q358" s="98"/>
      <c r="T358" s="48"/>
      <c r="V358" s="38"/>
      <c r="W358" s="38"/>
      <c r="X358" s="38"/>
    </row>
    <row r="359" spans="3:24" ht="15.75" customHeight="1" x14ac:dyDescent="0.35">
      <c r="C359" s="376"/>
      <c r="D359" s="379"/>
      <c r="E359" s="376"/>
      <c r="H359" s="131"/>
      <c r="Q359" s="98"/>
      <c r="T359" s="48"/>
      <c r="V359" s="38"/>
      <c r="W359" s="38"/>
      <c r="X359" s="38"/>
    </row>
    <row r="360" spans="3:24" ht="15.75" customHeight="1" x14ac:dyDescent="0.35">
      <c r="C360" s="376"/>
      <c r="D360" s="379"/>
      <c r="E360" s="378"/>
      <c r="Q360" s="98"/>
      <c r="T360" s="48"/>
      <c r="V360" s="38"/>
      <c r="W360" s="38"/>
      <c r="X360" s="38"/>
    </row>
    <row r="361" spans="3:24" ht="15.75" customHeight="1" x14ac:dyDescent="0.35">
      <c r="D361" s="27" t="s">
        <v>687</v>
      </c>
      <c r="O361" s="48"/>
      <c r="Q361" s="98"/>
      <c r="T361" s="48"/>
      <c r="V361" s="38"/>
      <c r="W361" s="38"/>
      <c r="X361" s="38"/>
    </row>
    <row r="362" spans="3:24" ht="15.75" customHeight="1" x14ac:dyDescent="0.35">
      <c r="D362" s="27"/>
      <c r="O362" s="48"/>
      <c r="Q362" s="98"/>
      <c r="T362" s="48"/>
      <c r="V362" s="38"/>
      <c r="W362" s="38"/>
      <c r="X362" s="38"/>
    </row>
    <row r="363" spans="3:24" ht="18.75" customHeight="1" x14ac:dyDescent="0.35">
      <c r="D363" s="27"/>
      <c r="O363" s="48"/>
      <c r="Q363" s="98"/>
      <c r="T363" s="48"/>
      <c r="V363" s="38"/>
      <c r="W363" s="38"/>
      <c r="X363" s="38"/>
    </row>
    <row r="364" spans="3:24" ht="15.75" customHeight="1" thickBot="1" x14ac:dyDescent="0.4">
      <c r="C364" s="52" t="s">
        <v>688</v>
      </c>
      <c r="D364" s="52"/>
      <c r="E364" s="52"/>
      <c r="F364" s="52"/>
      <c r="O364" s="48"/>
      <c r="Q364" s="98"/>
      <c r="T364" s="48"/>
      <c r="V364" s="38"/>
      <c r="W364" s="38"/>
      <c r="X364" s="38"/>
    </row>
    <row r="365" spans="3:24" ht="15.75" customHeight="1" thickBot="1" x14ac:dyDescent="0.4">
      <c r="C365" s="52" t="s">
        <v>689</v>
      </c>
      <c r="D365" s="27"/>
      <c r="E365" s="27"/>
      <c r="F365" s="27"/>
      <c r="K365" s="312" t="s">
        <v>690</v>
      </c>
      <c r="L365" s="351">
        <v>2</v>
      </c>
      <c r="O365" s="48"/>
      <c r="Q365" s="98"/>
      <c r="T365" s="48"/>
      <c r="V365" s="38"/>
      <c r="W365" s="38"/>
      <c r="X365" s="38"/>
    </row>
    <row r="366" spans="3:24" ht="15.75" customHeight="1" x14ac:dyDescent="0.35">
      <c r="C366" s="70"/>
      <c r="D366" s="104"/>
      <c r="E366" s="158"/>
      <c r="F366" s="159"/>
      <c r="I366" s="143"/>
      <c r="J366" s="141"/>
      <c r="O366" s="48"/>
      <c r="Q366" s="98"/>
      <c r="T366" s="48"/>
      <c r="V366" s="38"/>
      <c r="W366" s="38"/>
      <c r="X366" s="38"/>
    </row>
    <row r="367" spans="3:24" ht="15.75" customHeight="1" thickBot="1" x14ac:dyDescent="0.4">
      <c r="C367" s="70"/>
      <c r="D367" s="104"/>
      <c r="E367" s="158"/>
      <c r="F367" s="159"/>
      <c r="I367" s="143"/>
      <c r="J367" s="141"/>
      <c r="O367" s="48"/>
      <c r="Q367" s="98"/>
      <c r="T367" s="48"/>
      <c r="V367" s="38"/>
      <c r="W367" s="38"/>
      <c r="X367" s="38"/>
    </row>
    <row r="368" spans="3:24" ht="15.75" customHeight="1" thickBot="1" x14ac:dyDescent="0.45">
      <c r="C368" s="2" t="s">
        <v>691</v>
      </c>
      <c r="K368" s="359" t="s">
        <v>692</v>
      </c>
      <c r="L368" s="350">
        <f>G371</f>
        <v>1.2022545997974778</v>
      </c>
      <c r="O368" s="48"/>
      <c r="Q368" s="98"/>
      <c r="T368" s="48"/>
      <c r="V368" s="38"/>
      <c r="W368" s="38"/>
      <c r="X368" s="38"/>
    </row>
    <row r="369" spans="3:24" ht="15.75" customHeight="1" x14ac:dyDescent="0.35">
      <c r="O369" s="48"/>
      <c r="Q369" s="98"/>
      <c r="T369" s="48"/>
      <c r="V369" s="38"/>
      <c r="W369" s="38"/>
      <c r="X369" s="38"/>
    </row>
    <row r="370" spans="3:24" ht="15.75" customHeight="1" x14ac:dyDescent="0.35">
      <c r="O370" s="48"/>
      <c r="Q370" s="98"/>
      <c r="T370" s="48"/>
      <c r="V370" s="38"/>
      <c r="W370" s="38"/>
      <c r="X370" s="38"/>
    </row>
    <row r="371" spans="3:24" ht="15.75" customHeight="1" x14ac:dyDescent="0.35">
      <c r="E371" s="341" t="s">
        <v>690</v>
      </c>
      <c r="F371" s="47" t="s">
        <v>591</v>
      </c>
      <c r="G371" s="42">
        <f>1 + (1/SQRT(1 + (F374/(6.95*F375))))</f>
        <v>1.2022545997974778</v>
      </c>
      <c r="O371" s="48"/>
      <c r="Q371" s="98"/>
      <c r="T371" s="48"/>
      <c r="V371" s="38"/>
      <c r="W371" s="38"/>
      <c r="X371" s="38"/>
    </row>
    <row r="372" spans="3:24" ht="15.75" customHeight="1" x14ac:dyDescent="0.35">
      <c r="O372" s="48"/>
      <c r="Q372" s="98"/>
      <c r="T372" s="48"/>
      <c r="V372" s="38"/>
      <c r="W372" s="38"/>
      <c r="X372" s="38"/>
    </row>
    <row r="373" spans="3:24" ht="15.75" customHeight="1" x14ac:dyDescent="0.35">
      <c r="O373" s="48"/>
      <c r="Q373" s="98"/>
      <c r="T373" s="48"/>
      <c r="V373" s="38"/>
      <c r="W373" s="38"/>
      <c r="X373" s="38"/>
    </row>
    <row r="374" spans="3:24" ht="15.75" customHeight="1" x14ac:dyDescent="0.35">
      <c r="E374" s="44" t="s">
        <v>693</v>
      </c>
      <c r="F374" s="42">
        <f>35.62*17.591*11.44+0.5*(35.62*17.591*2.907)</f>
        <v>8078.9564737700002</v>
      </c>
      <c r="G374" s="91" t="s">
        <v>694</v>
      </c>
      <c r="H374" s="48"/>
      <c r="O374" s="48"/>
      <c r="Q374" s="98"/>
      <c r="T374" s="48"/>
      <c r="V374" s="38"/>
      <c r="W374" s="38"/>
      <c r="X374" s="38"/>
    </row>
    <row r="375" spans="3:24" ht="15.75" customHeight="1" x14ac:dyDescent="0.35">
      <c r="C375" s="27"/>
      <c r="E375" s="44" t="s">
        <v>695</v>
      </c>
      <c r="F375" s="42">
        <v>49.58</v>
      </c>
      <c r="G375" s="91" t="s">
        <v>696</v>
      </c>
      <c r="O375" s="48"/>
      <c r="Q375" s="98"/>
      <c r="T375" s="48"/>
      <c r="V375" s="38"/>
      <c r="W375" s="38"/>
      <c r="X375" s="38"/>
    </row>
    <row r="376" spans="3:24" ht="15.75" customHeight="1" x14ac:dyDescent="0.35">
      <c r="D376" s="27"/>
      <c r="O376" s="48"/>
      <c r="Q376" s="98"/>
      <c r="T376" s="48"/>
      <c r="V376" s="38"/>
      <c r="W376" s="38"/>
      <c r="X376" s="38"/>
    </row>
    <row r="377" spans="3:24" ht="15.75" customHeight="1" x14ac:dyDescent="0.35">
      <c r="D377" s="27"/>
      <c r="O377" s="48"/>
      <c r="Q377" s="98"/>
      <c r="T377" s="48"/>
      <c r="V377" s="38"/>
      <c r="W377" s="38"/>
      <c r="X377" s="38"/>
    </row>
    <row r="378" spans="3:24" ht="15.75" customHeight="1" x14ac:dyDescent="0.35">
      <c r="D378" s="27"/>
      <c r="O378" s="48"/>
      <c r="Q378" s="98"/>
      <c r="T378" s="48"/>
      <c r="V378" s="38"/>
      <c r="W378" s="38"/>
      <c r="X378" s="38"/>
    </row>
    <row r="379" spans="3:24" ht="15.75" customHeight="1" x14ac:dyDescent="0.35">
      <c r="C379" s="52" t="s">
        <v>697</v>
      </c>
      <c r="D379" s="27"/>
      <c r="O379" s="48"/>
      <c r="Q379" s="98"/>
      <c r="T379" s="48"/>
      <c r="V379" s="38"/>
      <c r="W379" s="38"/>
      <c r="X379" s="38"/>
    </row>
    <row r="380" spans="3:24" ht="15.75" customHeight="1" x14ac:dyDescent="0.35">
      <c r="C380" s="1105" t="s">
        <v>698</v>
      </c>
      <c r="D380" s="1098"/>
      <c r="E380" s="1098"/>
      <c r="O380" s="48"/>
      <c r="Q380" s="98"/>
      <c r="T380" s="48"/>
      <c r="V380" s="38"/>
      <c r="W380" s="38"/>
      <c r="X380" s="38"/>
    </row>
    <row r="381" spans="3:24" ht="15.75" customHeight="1" x14ac:dyDescent="0.35">
      <c r="D381" s="27"/>
      <c r="O381" s="48"/>
      <c r="Q381" s="98"/>
      <c r="T381" s="48"/>
      <c r="V381" s="38"/>
      <c r="W381" s="38"/>
      <c r="X381" s="38"/>
    </row>
    <row r="382" spans="3:24" ht="15.75" customHeight="1" x14ac:dyDescent="0.35">
      <c r="C382" s="49" t="s">
        <v>699</v>
      </c>
      <c r="E382" s="27"/>
      <c r="O382" s="48"/>
      <c r="Q382" s="98"/>
      <c r="T382" s="48"/>
      <c r="V382" s="38"/>
      <c r="W382" s="38"/>
      <c r="X382" s="38"/>
    </row>
    <row r="383" spans="3:24" ht="18.75" customHeight="1" x14ac:dyDescent="0.35">
      <c r="D383" s="27"/>
      <c r="O383" s="48"/>
      <c r="Q383" s="98"/>
      <c r="T383" s="48"/>
      <c r="V383" s="38"/>
      <c r="W383" s="38"/>
      <c r="X383" s="38"/>
    </row>
    <row r="384" spans="3:24" ht="20.25" customHeight="1" x14ac:dyDescent="0.35">
      <c r="C384" s="2" t="s">
        <v>466</v>
      </c>
      <c r="D384" s="27" t="s">
        <v>700</v>
      </c>
      <c r="K384" s="1112" t="s">
        <v>701</v>
      </c>
      <c r="L384" s="1113"/>
      <c r="O384" s="48"/>
      <c r="Q384" s="98"/>
      <c r="T384" s="48"/>
      <c r="V384" s="38"/>
      <c r="W384" s="38"/>
      <c r="X384" s="38"/>
    </row>
    <row r="385" spans="1:50" ht="15.75" customHeight="1" x14ac:dyDescent="0.35">
      <c r="D385" s="27"/>
      <c r="J385" s="363"/>
      <c r="K385" s="382"/>
      <c r="L385" s="382"/>
      <c r="M385" s="364"/>
      <c r="O385" s="48"/>
      <c r="Q385" s="98"/>
      <c r="T385" s="48"/>
      <c r="V385" s="38"/>
      <c r="W385" s="38"/>
      <c r="X385" s="38"/>
    </row>
    <row r="386" spans="1:50" ht="15.75" customHeight="1" x14ac:dyDescent="0.35">
      <c r="C386" s="2" t="s">
        <v>470</v>
      </c>
      <c r="D386" s="27" t="s">
        <v>702</v>
      </c>
      <c r="K386" s="1112" t="s">
        <v>703</v>
      </c>
      <c r="L386" s="1113"/>
      <c r="O386" s="48"/>
      <c r="Q386" s="98"/>
      <c r="T386" s="48"/>
      <c r="V386" s="38"/>
      <c r="W386" s="38"/>
      <c r="X386" s="38"/>
    </row>
    <row r="387" spans="1:50" ht="15.75" customHeight="1" x14ac:dyDescent="0.35">
      <c r="D387" s="27"/>
      <c r="J387" s="363"/>
      <c r="K387" s="382"/>
      <c r="L387" s="382"/>
      <c r="M387" s="364"/>
      <c r="O387" s="48"/>
      <c r="Q387" s="98"/>
      <c r="T387" s="48"/>
      <c r="V387" s="38"/>
      <c r="W387" s="38"/>
      <c r="X387" s="38"/>
    </row>
    <row r="388" spans="1:50" ht="15.75" customHeight="1" x14ac:dyDescent="0.35">
      <c r="C388" s="2" t="s">
        <v>475</v>
      </c>
      <c r="D388" s="27" t="s">
        <v>704</v>
      </c>
      <c r="K388" s="1112" t="s">
        <v>705</v>
      </c>
      <c r="L388" s="1113"/>
      <c r="Q388" s="98"/>
      <c r="T388" s="48"/>
      <c r="V388" s="38"/>
      <c r="W388" s="38"/>
      <c r="X388" s="38"/>
    </row>
    <row r="389" spans="1:50" ht="15.75" customHeight="1" x14ac:dyDescent="0.35">
      <c r="D389" s="27"/>
      <c r="K389" s="189"/>
      <c r="L389" s="189"/>
      <c r="O389" s="48"/>
      <c r="Q389" s="98"/>
      <c r="T389" s="48"/>
      <c r="V389" s="38"/>
      <c r="W389" s="38"/>
      <c r="X389" s="38"/>
    </row>
    <row r="390" spans="1:50" ht="15.75" customHeight="1" thickBot="1" x14ac:dyDescent="0.4">
      <c r="C390" s="188"/>
      <c r="I390" s="3"/>
      <c r="K390" s="383"/>
      <c r="L390" s="383"/>
      <c r="O390" s="48"/>
      <c r="Q390" s="98"/>
      <c r="T390" s="48"/>
      <c r="V390" s="38"/>
      <c r="W390" s="38"/>
      <c r="X390" s="38"/>
    </row>
    <row r="391" spans="1:50" ht="15.75" customHeight="1" thickBot="1" x14ac:dyDescent="0.4">
      <c r="K391" s="367" t="s">
        <v>706</v>
      </c>
      <c r="L391" s="365">
        <v>-0.7</v>
      </c>
      <c r="O391" s="48"/>
      <c r="Q391" s="98"/>
      <c r="T391" s="48"/>
      <c r="V391" s="38"/>
      <c r="W391" s="38"/>
      <c r="X391" s="38"/>
    </row>
    <row r="392" spans="1:50" ht="15.75" customHeight="1" thickBot="1" x14ac:dyDescent="0.4">
      <c r="K392" s="368" t="s">
        <v>706</v>
      </c>
      <c r="L392" s="366">
        <v>0.7</v>
      </c>
      <c r="O392" s="48"/>
      <c r="Q392" s="98"/>
      <c r="T392" s="48"/>
      <c r="V392" s="38"/>
      <c r="W392" s="38"/>
      <c r="X392" s="38"/>
    </row>
    <row r="393" spans="1:50" ht="15.75" customHeight="1" thickBot="1" x14ac:dyDescent="0.4">
      <c r="K393" s="173"/>
      <c r="L393" s="173"/>
      <c r="O393" s="48"/>
      <c r="Q393" s="98"/>
      <c r="X393" s="38"/>
      <c r="AS393" s="28"/>
      <c r="AT393" s="28"/>
      <c r="AU393" s="28"/>
      <c r="AV393" s="28"/>
      <c r="AW393" s="28"/>
      <c r="AX393" s="28"/>
    </row>
    <row r="394" spans="1:50" ht="20.25" customHeight="1" x14ac:dyDescent="0.35">
      <c r="C394" s="144"/>
      <c r="D394" s="104"/>
      <c r="E394" s="104"/>
      <c r="F394" s="104"/>
      <c r="G394" s="104"/>
      <c r="H394" s="104"/>
      <c r="I394" s="104"/>
      <c r="J394" s="187"/>
      <c r="K394" s="185"/>
      <c r="L394" s="27"/>
      <c r="O394" s="48"/>
      <c r="Q394" s="98"/>
      <c r="S394" s="662"/>
      <c r="T394" s="662"/>
      <c r="U394" s="665"/>
      <c r="V394" s="662"/>
      <c r="W394" s="666"/>
      <c r="X394" s="38"/>
    </row>
    <row r="395" spans="1:50" s="28" customFormat="1" ht="29.25" customHeight="1" x14ac:dyDescent="0.35">
      <c r="A395" s="2"/>
      <c r="C395" s="186"/>
      <c r="D395" s="104"/>
      <c r="E395" s="104"/>
      <c r="F395" s="104"/>
      <c r="G395" s="104"/>
      <c r="H395" s="104"/>
      <c r="I395" s="104"/>
      <c r="J395" s="187"/>
      <c r="K395" s="185"/>
      <c r="L395" s="27"/>
      <c r="M395" s="2"/>
      <c r="N395" s="30"/>
      <c r="O395" s="48"/>
      <c r="P395" s="2"/>
      <c r="Q395" s="98"/>
      <c r="R395" s="2"/>
      <c r="S395" s="669"/>
      <c r="T395" s="669"/>
      <c r="U395" s="673"/>
      <c r="V395" s="669"/>
      <c r="W395" s="674"/>
      <c r="X395" s="387"/>
      <c r="AS395" s="2"/>
      <c r="AT395" s="2"/>
      <c r="AU395" s="2"/>
      <c r="AV395" s="2"/>
      <c r="AW395" s="2"/>
      <c r="AX395" s="2"/>
    </row>
    <row r="396" spans="1:50" ht="39.75" customHeight="1" x14ac:dyDescent="0.4">
      <c r="C396" s="154" t="s">
        <v>707</v>
      </c>
      <c r="D396" s="269"/>
      <c r="E396" s="269"/>
      <c r="F396" s="372"/>
      <c r="J396" s="187"/>
      <c r="L396" s="27"/>
      <c r="O396" s="48"/>
      <c r="Q396" s="98"/>
      <c r="S396" s="867"/>
      <c r="T396" s="867"/>
      <c r="U396" s="867"/>
      <c r="V396" s="867"/>
      <c r="W396" s="868"/>
      <c r="X396" s="38"/>
      <c r="AS396" s="28"/>
      <c r="AT396" s="28"/>
      <c r="AU396" s="28"/>
      <c r="AV396" s="28"/>
      <c r="AW396" s="28"/>
      <c r="AX396" s="28"/>
    </row>
    <row r="397" spans="1:50" ht="41.25" customHeight="1" thickBot="1" x14ac:dyDescent="0.4">
      <c r="C397" s="104"/>
      <c r="D397" s="49"/>
      <c r="E397" s="49"/>
      <c r="F397" s="49"/>
      <c r="G397" s="49"/>
      <c r="H397" s="49"/>
      <c r="I397" s="49"/>
      <c r="J397" s="187"/>
      <c r="L397" s="27"/>
      <c r="O397" s="48"/>
      <c r="Q397" s="98"/>
      <c r="S397" s="870"/>
      <c r="T397" s="870"/>
      <c r="U397" s="870"/>
      <c r="V397" s="870"/>
      <c r="W397" s="871"/>
      <c r="X397" s="38"/>
    </row>
    <row r="398" spans="1:50" s="28" customFormat="1" ht="45" customHeight="1" x14ac:dyDescent="0.35">
      <c r="A398" s="2"/>
      <c r="C398" s="370"/>
      <c r="D398" s="371"/>
      <c r="E398" s="371"/>
      <c r="F398" s="194"/>
      <c r="G398" s="194"/>
      <c r="H398" s="104"/>
      <c r="I398" s="104"/>
      <c r="J398" s="187"/>
      <c r="K398" s="2"/>
      <c r="L398" s="27"/>
      <c r="M398" s="2"/>
      <c r="N398" s="30"/>
      <c r="O398" s="48"/>
      <c r="P398" s="2"/>
      <c r="Q398" s="98"/>
      <c r="R398" s="2"/>
      <c r="W398" s="387"/>
      <c r="X398" s="387"/>
      <c r="AS398" s="2"/>
      <c r="AT398" s="2"/>
      <c r="AU398" s="2"/>
      <c r="AV398" s="2"/>
      <c r="AW398" s="2"/>
      <c r="AX398" s="2"/>
    </row>
    <row r="399" spans="1:50" ht="15.75" customHeight="1" x14ac:dyDescent="0.35">
      <c r="D399" s="202" t="s">
        <v>708</v>
      </c>
      <c r="E399" s="204" t="s">
        <v>709</v>
      </c>
      <c r="F399" s="104"/>
      <c r="J399" s="187"/>
      <c r="L399" s="27"/>
      <c r="O399" s="48"/>
      <c r="Q399" s="98"/>
      <c r="T399" s="48"/>
      <c r="V399" s="38"/>
      <c r="W399" s="38"/>
      <c r="X399" s="38"/>
    </row>
    <row r="400" spans="1:50" ht="15.75" customHeight="1" x14ac:dyDescent="0.35">
      <c r="C400" s="370"/>
      <c r="D400" s="381"/>
      <c r="E400" s="381"/>
      <c r="F400" s="194"/>
      <c r="G400" s="194"/>
      <c r="H400" s="104"/>
      <c r="I400" s="104"/>
      <c r="J400" s="187"/>
      <c r="L400" s="27"/>
      <c r="O400" s="48"/>
      <c r="Q400" s="98"/>
      <c r="T400" s="48"/>
      <c r="V400" s="38"/>
      <c r="W400" s="38"/>
      <c r="X400" s="38"/>
    </row>
    <row r="401" spans="1:24" ht="15.75" customHeight="1" thickBot="1" x14ac:dyDescent="0.4">
      <c r="I401" s="3"/>
      <c r="J401" s="3"/>
      <c r="K401" s="3"/>
      <c r="L401" s="3"/>
      <c r="M401" s="3"/>
      <c r="N401" s="3"/>
      <c r="O401" s="3"/>
      <c r="T401" s="48"/>
      <c r="V401" s="38"/>
      <c r="W401" s="38"/>
      <c r="X401" s="38"/>
    </row>
    <row r="402" spans="1:24" ht="15.75" customHeight="1" x14ac:dyDescent="0.3">
      <c r="C402" s="28"/>
      <c r="D402" s="28"/>
      <c r="E402" s="388" t="s">
        <v>708</v>
      </c>
      <c r="F402" s="385">
        <f>L129*L139*L177*L358*L365*L391</f>
        <v>-0.51538931136900157</v>
      </c>
      <c r="G402" s="660" t="s">
        <v>710</v>
      </c>
      <c r="H402" s="660"/>
      <c r="I402" s="660"/>
      <c r="J402" s="660"/>
      <c r="K402" s="660"/>
      <c r="L402" s="660"/>
      <c r="M402" s="661"/>
      <c r="N402" s="662"/>
      <c r="O402" s="663"/>
      <c r="P402" s="662"/>
      <c r="Q402" s="662"/>
      <c r="R402" s="664"/>
    </row>
    <row r="403" spans="1:24" ht="15.75" customHeight="1" x14ac:dyDescent="0.35">
      <c r="A403" s="28"/>
      <c r="B403" s="36"/>
      <c r="E403" s="389" t="s">
        <v>708</v>
      </c>
      <c r="F403" s="386">
        <f>L129*L139*L177*L358*L365*L392</f>
        <v>0.51538931136900157</v>
      </c>
      <c r="G403" s="667" t="s">
        <v>710</v>
      </c>
      <c r="H403" s="667"/>
      <c r="I403" s="667"/>
      <c r="J403" s="667"/>
      <c r="K403" s="667"/>
      <c r="L403" s="667"/>
      <c r="M403" s="668"/>
      <c r="N403" s="669"/>
      <c r="O403" s="670"/>
      <c r="P403" s="669"/>
      <c r="Q403" s="671"/>
      <c r="R403" s="672"/>
    </row>
    <row r="404" spans="1:24" ht="15.75" customHeight="1" x14ac:dyDescent="0.3">
      <c r="E404" s="390" t="s">
        <v>708</v>
      </c>
      <c r="F404" s="386">
        <f>L129*L139*L177*L358*L368*L391</f>
        <v>-0.30981458513991833</v>
      </c>
      <c r="G404" s="866" t="s">
        <v>711</v>
      </c>
      <c r="H404" s="867"/>
      <c r="I404" s="867"/>
      <c r="J404" s="867"/>
      <c r="K404" s="867"/>
      <c r="L404" s="867"/>
      <c r="M404" s="867"/>
      <c r="N404" s="867"/>
      <c r="O404" s="867"/>
      <c r="P404" s="867"/>
      <c r="Q404" s="867"/>
      <c r="R404" s="867"/>
    </row>
    <row r="405" spans="1:24" ht="15.75" customHeight="1" thickBot="1" x14ac:dyDescent="0.4">
      <c r="C405" s="28"/>
      <c r="D405" s="28"/>
      <c r="E405" s="391" t="s">
        <v>708</v>
      </c>
      <c r="F405" s="392">
        <f>L129*L139*L177*L358*L368*L392</f>
        <v>0.30981458513991833</v>
      </c>
      <c r="G405" s="869" t="s">
        <v>712</v>
      </c>
      <c r="H405" s="870"/>
      <c r="I405" s="870"/>
      <c r="J405" s="870"/>
      <c r="K405" s="870"/>
      <c r="L405" s="870"/>
      <c r="M405" s="870"/>
      <c r="N405" s="870"/>
      <c r="O405" s="870"/>
      <c r="P405" s="870"/>
      <c r="Q405" s="870"/>
      <c r="R405" s="870"/>
      <c r="T405" s="48"/>
      <c r="V405" s="38"/>
      <c r="W405" s="38"/>
      <c r="X405" s="38"/>
    </row>
    <row r="406" spans="1:24" ht="15.75" customHeight="1" x14ac:dyDescent="0.35">
      <c r="A406" s="28"/>
      <c r="B406" s="36"/>
      <c r="C406" s="28"/>
      <c r="D406" s="28"/>
      <c r="E406" s="28"/>
      <c r="F406" s="28"/>
      <c r="G406" s="28"/>
      <c r="H406" s="28"/>
      <c r="I406" s="28"/>
      <c r="J406" s="28"/>
      <c r="K406" s="28"/>
      <c r="L406" s="28"/>
      <c r="M406" s="28"/>
      <c r="N406" s="28"/>
      <c r="O406" s="28"/>
      <c r="P406" s="28"/>
      <c r="Q406" s="28"/>
      <c r="R406" s="28"/>
      <c r="T406" s="48"/>
      <c r="V406" s="38"/>
      <c r="W406" s="38"/>
      <c r="X406" s="38"/>
    </row>
    <row r="407" spans="1:24" ht="15.75" customHeight="1" x14ac:dyDescent="0.35">
      <c r="D407" s="190"/>
      <c r="E407" s="27"/>
      <c r="K407" s="173"/>
      <c r="L407" s="173"/>
      <c r="O407" s="48"/>
      <c r="Q407" s="98"/>
      <c r="T407" s="48"/>
      <c r="V407" s="38"/>
      <c r="W407" s="38"/>
      <c r="X407" s="38"/>
    </row>
    <row r="408" spans="1:24" ht="15.75" customHeight="1" x14ac:dyDescent="0.35">
      <c r="D408" s="190"/>
      <c r="L408" s="173"/>
      <c r="O408" s="48"/>
      <c r="Q408" s="98"/>
      <c r="T408" s="48"/>
      <c r="V408" s="38"/>
      <c r="W408" s="38"/>
      <c r="X408" s="38"/>
    </row>
    <row r="409" spans="1:24" ht="15.75" customHeight="1" x14ac:dyDescent="0.35">
      <c r="D409" s="27"/>
      <c r="K409" s="173"/>
      <c r="L409" s="173"/>
      <c r="O409" s="48"/>
      <c r="Q409" s="98"/>
      <c r="T409" s="38"/>
      <c r="U409" s="38"/>
      <c r="V409" s="38"/>
      <c r="W409" s="38"/>
      <c r="X409" s="38"/>
    </row>
    <row r="410" spans="1:24" ht="15.75" customHeight="1" x14ac:dyDescent="0.35">
      <c r="C410" s="190"/>
      <c r="D410" s="27"/>
      <c r="K410" s="173"/>
      <c r="L410" s="173"/>
      <c r="T410" s="38"/>
      <c r="U410" s="38"/>
      <c r="V410" s="38"/>
      <c r="W410" s="38"/>
      <c r="X410" s="38"/>
    </row>
    <row r="411" spans="1:24" ht="15.75" customHeight="1" x14ac:dyDescent="0.35">
      <c r="C411" s="190"/>
      <c r="D411" s="27"/>
      <c r="K411" s="173"/>
      <c r="L411" s="173"/>
      <c r="T411" s="38"/>
      <c r="U411" s="38"/>
      <c r="V411" s="38"/>
      <c r="W411" s="38"/>
      <c r="X411" s="38"/>
    </row>
    <row r="412" spans="1:24" ht="23.15" customHeight="1" x14ac:dyDescent="0.35">
      <c r="C412" s="191"/>
      <c r="D412" s="192"/>
      <c r="E412" s="94"/>
      <c r="F412" s="94"/>
      <c r="G412" s="94"/>
      <c r="H412" s="94"/>
      <c r="I412" s="94"/>
      <c r="J412" s="94"/>
      <c r="K412" s="94"/>
      <c r="T412" s="48"/>
      <c r="V412" s="38"/>
      <c r="W412" s="38"/>
      <c r="X412" s="38"/>
    </row>
    <row r="413" spans="1:24" ht="15.75" customHeight="1" x14ac:dyDescent="0.35">
      <c r="C413" s="191"/>
      <c r="D413" s="192"/>
      <c r="E413" s="94"/>
      <c r="F413" s="94"/>
      <c r="G413" s="94"/>
      <c r="H413" s="94"/>
      <c r="I413" s="94"/>
      <c r="J413" s="94"/>
      <c r="K413" s="94"/>
      <c r="O413" s="48"/>
      <c r="Q413" s="98"/>
      <c r="T413" s="48"/>
      <c r="V413" s="38"/>
      <c r="W413" s="38"/>
      <c r="X413" s="38"/>
    </row>
    <row r="414" spans="1:24" ht="15.75" customHeight="1" x14ac:dyDescent="0.35">
      <c r="C414" s="193"/>
      <c r="D414" s="192"/>
      <c r="E414" s="94"/>
      <c r="F414" s="94"/>
      <c r="G414" s="94"/>
      <c r="H414" s="94"/>
      <c r="I414" s="94"/>
      <c r="J414" s="94"/>
      <c r="K414" s="94"/>
      <c r="O414" s="48"/>
      <c r="Q414" s="98"/>
      <c r="T414" s="48"/>
      <c r="V414" s="38"/>
      <c r="W414" s="38"/>
      <c r="X414" s="38"/>
    </row>
    <row r="415" spans="1:24" ht="15.75" customHeight="1" x14ac:dyDescent="0.35">
      <c r="C415" s="190"/>
      <c r="D415" s="27"/>
      <c r="O415" s="48"/>
      <c r="Q415" s="98"/>
      <c r="T415" s="48"/>
      <c r="V415" s="38"/>
      <c r="W415" s="38"/>
      <c r="X415" s="38"/>
    </row>
    <row r="416" spans="1:24" ht="15.75" customHeight="1" x14ac:dyDescent="0.35">
      <c r="C416" s="190"/>
      <c r="D416" s="27"/>
      <c r="E416" s="7"/>
      <c r="F416" s="142"/>
      <c r="G416" s="142"/>
      <c r="H416" s="142"/>
      <c r="I416" s="142"/>
      <c r="O416" s="48"/>
      <c r="Q416" s="98"/>
      <c r="T416" s="48"/>
      <c r="V416" s="38"/>
      <c r="W416" s="38"/>
      <c r="X416" s="38"/>
    </row>
    <row r="417" spans="3:24" ht="15.75" customHeight="1" x14ac:dyDescent="0.35">
      <c r="C417" s="190"/>
      <c r="D417" s="200"/>
      <c r="E417" s="153"/>
      <c r="F417" s="217"/>
      <c r="G417" s="199"/>
      <c r="H417" s="220"/>
      <c r="J417" s="198"/>
      <c r="K417" s="143"/>
      <c r="L417" s="345"/>
      <c r="M417" s="49"/>
      <c r="N417" s="104"/>
      <c r="O417" s="104"/>
      <c r="P417" s="104"/>
      <c r="Q417" s="104"/>
      <c r="R417" s="48"/>
      <c r="T417" s="48"/>
      <c r="V417" s="38"/>
      <c r="W417" s="38"/>
      <c r="X417" s="38"/>
    </row>
    <row r="418" spans="3:24" ht="15.75" customHeight="1" x14ac:dyDescent="0.35">
      <c r="C418" s="190"/>
      <c r="D418" s="27"/>
      <c r="E418" s="7"/>
      <c r="F418" s="142"/>
      <c r="G418" s="221"/>
      <c r="H418" s="162"/>
      <c r="I418" s="142"/>
      <c r="K418" s="143"/>
      <c r="L418" s="345"/>
      <c r="M418" s="182"/>
      <c r="N418" s="104"/>
      <c r="O418" s="104"/>
      <c r="P418" s="104"/>
      <c r="Q418" s="104"/>
      <c r="R418" s="48"/>
      <c r="T418" s="48"/>
      <c r="V418" s="38"/>
      <c r="W418" s="38"/>
      <c r="X418" s="38"/>
    </row>
    <row r="419" spans="3:24" ht="15.75" customHeight="1" x14ac:dyDescent="0.35">
      <c r="C419" s="190"/>
      <c r="D419" s="27"/>
      <c r="E419" s="7"/>
      <c r="F419" s="142"/>
      <c r="G419" s="148"/>
      <c r="H419" s="142"/>
      <c r="I419" s="142"/>
      <c r="K419" s="143"/>
      <c r="L419" s="345"/>
      <c r="M419" s="49"/>
      <c r="N419" s="104"/>
      <c r="O419" s="49"/>
      <c r="P419" s="49"/>
      <c r="Q419" s="49"/>
      <c r="R419" s="48"/>
      <c r="T419" s="48"/>
      <c r="V419" s="38"/>
      <c r="W419" s="38"/>
      <c r="X419" s="38"/>
    </row>
    <row r="420" spans="3:24" ht="15.75" customHeight="1" x14ac:dyDescent="0.35">
      <c r="C420" s="190"/>
      <c r="D420" s="48"/>
      <c r="F420" s="202"/>
      <c r="G420" s="201"/>
      <c r="H420" s="204"/>
      <c r="I420" s="203"/>
      <c r="O420" s="48"/>
      <c r="Q420" s="98"/>
      <c r="T420" s="48"/>
      <c r="V420" s="38"/>
      <c r="W420" s="38"/>
      <c r="X420" s="38"/>
    </row>
    <row r="421" spans="3:24" ht="15.75" customHeight="1" x14ac:dyDescent="0.35">
      <c r="C421" s="190"/>
      <c r="D421" s="48"/>
      <c r="E421" s="58"/>
      <c r="H421" s="3"/>
      <c r="O421" s="48"/>
      <c r="Q421" s="98"/>
      <c r="T421" s="48"/>
      <c r="V421" s="38"/>
      <c r="W421" s="38"/>
      <c r="X421" s="38"/>
    </row>
    <row r="422" spans="3:24" ht="15.75" customHeight="1" x14ac:dyDescent="0.35">
      <c r="C422" s="190"/>
      <c r="D422" s="48"/>
      <c r="E422" s="222"/>
      <c r="F422" s="218"/>
      <c r="G422" s="40"/>
      <c r="H422" s="204"/>
      <c r="I422" s="203"/>
      <c r="O422" s="48"/>
      <c r="Q422" s="98"/>
      <c r="T422" s="48"/>
      <c r="V422" s="38"/>
      <c r="W422" s="38"/>
      <c r="X422" s="38"/>
    </row>
    <row r="423" spans="3:24" ht="15.75" customHeight="1" x14ac:dyDescent="0.35">
      <c r="C423" s="190"/>
      <c r="E423" s="223"/>
      <c r="F423" s="216"/>
      <c r="G423" s="40"/>
      <c r="H423" s="3"/>
      <c r="O423" s="48"/>
      <c r="Q423" s="98"/>
      <c r="T423" s="48"/>
      <c r="V423" s="38"/>
      <c r="W423" s="38"/>
      <c r="X423" s="38"/>
    </row>
    <row r="424" spans="3:24" ht="15.75" customHeight="1" x14ac:dyDescent="0.35">
      <c r="C424" s="190"/>
      <c r="D424" s="48"/>
      <c r="E424" s="223"/>
      <c r="F424" s="42"/>
      <c r="G424" s="40"/>
      <c r="O424" s="48"/>
      <c r="Q424" s="98"/>
      <c r="T424" s="48"/>
      <c r="V424" s="38"/>
      <c r="W424" s="38"/>
      <c r="X424" s="38"/>
    </row>
    <row r="425" spans="3:24" ht="15.75" customHeight="1" x14ac:dyDescent="0.35">
      <c r="C425" s="190"/>
      <c r="D425" s="48"/>
      <c r="E425" s="222"/>
      <c r="F425" s="218"/>
      <c r="G425" s="219"/>
      <c r="H425" s="204"/>
      <c r="I425" s="203"/>
      <c r="O425" s="48"/>
      <c r="Q425" s="98"/>
      <c r="T425" s="48"/>
      <c r="V425" s="38"/>
      <c r="W425" s="38"/>
      <c r="X425" s="38"/>
    </row>
    <row r="426" spans="3:24" ht="15.75" customHeight="1" x14ac:dyDescent="0.35">
      <c r="C426" s="190"/>
      <c r="D426" s="48"/>
      <c r="E426" s="222"/>
      <c r="F426" s="218"/>
      <c r="G426" s="219"/>
      <c r="H426" s="204"/>
      <c r="I426" s="203"/>
      <c r="O426" s="48"/>
      <c r="Q426" s="98"/>
      <c r="T426" s="48"/>
      <c r="V426" s="38"/>
      <c r="W426" s="38"/>
      <c r="X426" s="38"/>
    </row>
    <row r="427" spans="3:24" ht="15.75" customHeight="1" x14ac:dyDescent="0.35">
      <c r="C427" s="190"/>
      <c r="D427" s="48"/>
      <c r="E427" s="222"/>
      <c r="F427" s="218"/>
      <c r="G427" s="219"/>
      <c r="H427" s="204"/>
      <c r="I427" s="203"/>
      <c r="O427" s="48"/>
      <c r="Q427" s="98"/>
      <c r="T427" s="48"/>
      <c r="V427" s="38"/>
      <c r="W427" s="38"/>
      <c r="X427" s="38"/>
    </row>
    <row r="428" spans="3:24" ht="15.75" customHeight="1" x14ac:dyDescent="0.35">
      <c r="D428" s="48"/>
      <c r="E428" s="222"/>
      <c r="F428" s="218"/>
      <c r="G428" s="219"/>
      <c r="H428" s="204"/>
      <c r="I428" s="203"/>
      <c r="O428" s="48"/>
      <c r="Q428" s="98"/>
      <c r="T428" s="48"/>
      <c r="V428" s="38"/>
      <c r="W428" s="38"/>
      <c r="X428" s="38"/>
    </row>
    <row r="429" spans="3:24" ht="15.75" customHeight="1" x14ac:dyDescent="0.35">
      <c r="C429" s="190"/>
      <c r="D429" s="48"/>
      <c r="E429" s="222"/>
      <c r="F429" s="218"/>
      <c r="G429" s="219"/>
      <c r="H429" s="204"/>
      <c r="I429" s="203"/>
      <c r="O429" s="48"/>
      <c r="Q429" s="98"/>
      <c r="T429" s="48"/>
      <c r="V429" s="38"/>
      <c r="W429" s="38"/>
      <c r="X429" s="38"/>
    </row>
    <row r="430" spans="3:24" ht="15.75" customHeight="1" x14ac:dyDescent="0.35">
      <c r="C430" s="190"/>
      <c r="D430" s="48"/>
      <c r="E430" s="222"/>
      <c r="F430" s="218"/>
      <c r="G430" s="219"/>
      <c r="H430" s="204"/>
      <c r="I430" s="203"/>
      <c r="O430" s="48"/>
      <c r="Q430" s="98"/>
      <c r="T430" s="8"/>
      <c r="U430" s="8"/>
      <c r="V430" s="8"/>
    </row>
    <row r="431" spans="3:24" ht="15.75" customHeight="1" x14ac:dyDescent="0.35">
      <c r="C431" s="190"/>
      <c r="D431" s="48"/>
      <c r="E431" s="222"/>
      <c r="F431" s="218"/>
      <c r="G431" s="219"/>
      <c r="H431" s="204"/>
      <c r="I431" s="203"/>
      <c r="O431" s="48"/>
      <c r="Q431" s="98"/>
    </row>
    <row r="432" spans="3:24" ht="15.75" customHeight="1" x14ac:dyDescent="0.35">
      <c r="C432" s="190"/>
      <c r="D432" s="48"/>
      <c r="E432" s="222"/>
      <c r="F432" s="218"/>
      <c r="G432" s="219"/>
      <c r="H432" s="204"/>
      <c r="I432" s="203"/>
      <c r="O432" s="48"/>
      <c r="Q432" s="98"/>
    </row>
    <row r="433" spans="3:51" ht="15.75" customHeight="1" x14ac:dyDescent="0.35">
      <c r="C433" s="190"/>
      <c r="D433" s="27"/>
      <c r="F433" s="216"/>
      <c r="G433" s="40"/>
      <c r="H433" s="3"/>
      <c r="O433" s="48"/>
      <c r="Q433" s="98"/>
    </row>
    <row r="434" spans="3:51" ht="15.75" customHeight="1" x14ac:dyDescent="0.35">
      <c r="C434" s="190"/>
      <c r="D434" s="27"/>
      <c r="G434" s="3"/>
      <c r="O434" s="48"/>
      <c r="Q434" s="98"/>
    </row>
    <row r="435" spans="3:51" ht="15.75" customHeight="1" x14ac:dyDescent="0.45">
      <c r="C435" s="677" t="s">
        <v>713</v>
      </c>
      <c r="F435" s="3"/>
      <c r="O435" s="48"/>
      <c r="Q435" s="98"/>
    </row>
    <row r="436" spans="3:51" ht="22.5" customHeight="1" x14ac:dyDescent="0.45">
      <c r="C436" s="677" t="s">
        <v>714</v>
      </c>
      <c r="F436" s="3"/>
      <c r="O436" s="48"/>
      <c r="Q436" s="98"/>
    </row>
    <row r="437" spans="3:51" ht="15.75" customHeight="1" x14ac:dyDescent="0.3">
      <c r="Q437" s="98"/>
    </row>
    <row r="438" spans="3:51" ht="15.75" customHeight="1" x14ac:dyDescent="0.4">
      <c r="C438" s="892" t="s">
        <v>715</v>
      </c>
      <c r="D438" s="296"/>
      <c r="I438" s="844"/>
      <c r="N438" s="2"/>
    </row>
    <row r="439" spans="3:51" ht="15.75" customHeight="1" thickBot="1" x14ac:dyDescent="0.45">
      <c r="C439" s="892"/>
      <c r="D439" s="296"/>
      <c r="I439" s="844"/>
      <c r="M439" s="897" t="s">
        <v>716</v>
      </c>
      <c r="N439" s="2"/>
    </row>
    <row r="440" spans="3:51" ht="15.75" customHeight="1" thickBot="1" x14ac:dyDescent="0.45">
      <c r="C440" s="948" t="s">
        <v>717</v>
      </c>
      <c r="D440" s="296"/>
      <c r="J440" s="930" t="s">
        <v>416</v>
      </c>
      <c r="M440" s="897" t="s">
        <v>718</v>
      </c>
      <c r="N440" s="2"/>
      <c r="P440" s="898"/>
    </row>
    <row r="441" spans="3:51" ht="15.75" customHeight="1" thickBot="1" x14ac:dyDescent="0.35">
      <c r="C441" s="872"/>
      <c r="D441" s="873"/>
      <c r="E441" s="873"/>
      <c r="F441" s="873"/>
      <c r="J441" s="931" t="s">
        <v>419</v>
      </c>
      <c r="M441" s="899"/>
      <c r="N441" s="2"/>
      <c r="P441" s="897"/>
    </row>
    <row r="442" spans="3:51" ht="15.75" customHeight="1" thickBot="1" x14ac:dyDescent="0.35">
      <c r="K442" s="920"/>
      <c r="M442" s="899"/>
      <c r="P442" s="897"/>
    </row>
    <row r="443" spans="3:51" ht="18.5" customHeight="1" thickBot="1" x14ac:dyDescent="0.45">
      <c r="C443" s="948" t="s">
        <v>719</v>
      </c>
      <c r="D443" s="948"/>
      <c r="E443" s="948"/>
      <c r="I443" s="932" t="s">
        <v>720</v>
      </c>
      <c r="J443" s="524" t="s">
        <v>422</v>
      </c>
      <c r="K443" s="525">
        <f>IF(J440="SLS","N/A",
IF(J440="ULS",
IF(J441="Low",0.8,
IF(J441="Normal",1,
IF(J441="High",1.3,
IF(J441="Post-Disaster",1.5,"")))),
""))</f>
        <v>1</v>
      </c>
      <c r="M443" s="899"/>
      <c r="P443" s="897"/>
    </row>
    <row r="444" spans="3:51" ht="15.75" customHeight="1" x14ac:dyDescent="0.3">
      <c r="M444" s="899"/>
      <c r="P444" s="897"/>
    </row>
    <row r="445" spans="3:51" ht="14.5" customHeight="1" thickBot="1" x14ac:dyDescent="0.35">
      <c r="L445" s="886"/>
      <c r="M445" s="899"/>
      <c r="N445" s="887"/>
      <c r="P445" s="897"/>
      <c r="AY445" s="68"/>
    </row>
    <row r="446" spans="3:51" ht="17.25" customHeight="1" thickBot="1" x14ac:dyDescent="0.4">
      <c r="C446" s="754" t="s">
        <v>406</v>
      </c>
      <c r="D446" s="753"/>
      <c r="E446" s="1093" t="s">
        <v>438</v>
      </c>
      <c r="F446" s="1094"/>
      <c r="G446" s="142"/>
      <c r="H446" s="1097" t="str">
        <f t="array" ref="H446">GetCoordinatesOfficial(E446)</f>
        <v>51.0456064, -114.0575410</v>
      </c>
      <c r="I446" s="1098"/>
      <c r="J446" s="963"/>
      <c r="K446" s="964" t="str">
        <f t="array" ref="K446">RoundCoordinates(H446,2)</f>
        <v>51.05,-114.06</v>
      </c>
      <c r="L446" s="490"/>
      <c r="M446" s="899"/>
      <c r="N446" s="2"/>
      <c r="P446" s="897"/>
      <c r="R446" s="38"/>
    </row>
    <row r="447" spans="3:51" ht="17.25" customHeight="1" x14ac:dyDescent="0.3">
      <c r="C447" s="926" t="s">
        <v>721</v>
      </c>
      <c r="D447" s="925"/>
      <c r="E447" s="893"/>
      <c r="F447" s="893"/>
      <c r="G447" s="142"/>
      <c r="L447" s="490"/>
      <c r="M447" s="899"/>
      <c r="N447" s="2"/>
      <c r="P447" s="897"/>
      <c r="R447" s="38"/>
    </row>
    <row r="448" spans="3:51" ht="17.25" customHeight="1" x14ac:dyDescent="0.3">
      <c r="C448" s="926"/>
      <c r="D448" s="925"/>
      <c r="E448" s="893"/>
      <c r="F448" s="893"/>
      <c r="G448" s="142"/>
      <c r="L448" s="950"/>
      <c r="M448" s="899"/>
      <c r="N448" s="2"/>
      <c r="P448" s="897"/>
      <c r="R448" s="38"/>
    </row>
    <row r="449" spans="3:51" ht="16.5" customHeight="1" x14ac:dyDescent="0.35">
      <c r="C449" s="953" t="s">
        <v>409</v>
      </c>
      <c r="D449" s="917"/>
      <c r="E449" s="893"/>
      <c r="F449" s="893"/>
      <c r="G449" s="142"/>
      <c r="L449" s="141"/>
      <c r="M449" s="900"/>
      <c r="N449" s="2"/>
      <c r="P449" s="897"/>
      <c r="R449" s="38"/>
    </row>
    <row r="450" spans="3:51" ht="17.25" customHeight="1" thickBot="1" x14ac:dyDescent="0.4">
      <c r="C450" s="921"/>
      <c r="D450" s="917"/>
      <c r="E450" s="893"/>
      <c r="F450" s="893"/>
      <c r="G450" s="142"/>
      <c r="L450" s="141"/>
      <c r="M450" s="902"/>
      <c r="N450" s="2"/>
      <c r="P450" s="897"/>
      <c r="R450" s="38"/>
    </row>
    <row r="451" spans="3:51" ht="15.75" customHeight="1" thickBot="1" x14ac:dyDescent="0.4">
      <c r="C451" s="922" t="s">
        <v>410</v>
      </c>
      <c r="D451" s="923"/>
      <c r="E451" s="1096" t="s">
        <v>3364</v>
      </c>
      <c r="F451" s="1094"/>
      <c r="G451" s="26"/>
      <c r="H451" s="954"/>
      <c r="I451" s="954"/>
      <c r="J451" s="26"/>
      <c r="K451" s="955"/>
      <c r="L451" s="941"/>
      <c r="M451" s="902"/>
      <c r="N451" s="2"/>
      <c r="P451" s="901"/>
      <c r="S451" s="1087"/>
      <c r="T451" s="1088"/>
      <c r="U451" s="1088"/>
    </row>
    <row r="452" spans="3:51" ht="15.75" customHeight="1" x14ac:dyDescent="0.35">
      <c r="C452" s="922"/>
      <c r="D452" s="923"/>
      <c r="E452" s="221"/>
      <c r="H452" s="541"/>
      <c r="I452" s="929"/>
      <c r="K452" s="221"/>
      <c r="L452" s="141"/>
      <c r="M452" s="902"/>
      <c r="N452" s="2"/>
      <c r="P452" s="902"/>
      <c r="S452" s="38"/>
      <c r="T452" s="38"/>
      <c r="U452" s="38"/>
    </row>
    <row r="453" spans="3:51" ht="15.75" customHeight="1" x14ac:dyDescent="0.35">
      <c r="C453" s="918" t="s">
        <v>722</v>
      </c>
      <c r="D453" s="924"/>
      <c r="E453" s="94"/>
      <c r="I453" s="142"/>
      <c r="L453" s="951"/>
      <c r="M453" s="902"/>
      <c r="N453" s="2"/>
      <c r="P453" s="902"/>
      <c r="S453" s="952"/>
      <c r="T453" s="38"/>
      <c r="U453" s="38"/>
    </row>
    <row r="454" spans="3:51" ht="15.75" customHeight="1" x14ac:dyDescent="0.35">
      <c r="C454" s="918" t="s">
        <v>723</v>
      </c>
      <c r="D454" s="924"/>
      <c r="E454" s="94"/>
      <c r="I454" s="142"/>
      <c r="L454" s="490"/>
      <c r="M454" s="902"/>
      <c r="N454" s="2"/>
      <c r="P454" s="902"/>
      <c r="S454" s="38"/>
      <c r="T454" s="38"/>
      <c r="U454" s="38"/>
    </row>
    <row r="455" spans="3:51" ht="15.75" customHeight="1" x14ac:dyDescent="0.35">
      <c r="C455" s="918" t="s">
        <v>724</v>
      </c>
      <c r="D455" s="924"/>
      <c r="E455" s="94"/>
      <c r="J455" s="753" t="s">
        <v>725</v>
      </c>
      <c r="L455" s="490"/>
      <c r="M455" s="902"/>
      <c r="N455" s="2"/>
      <c r="P455" s="753" t="s">
        <v>726</v>
      </c>
      <c r="S455" s="38"/>
      <c r="T455" s="38"/>
      <c r="U455" s="38"/>
    </row>
    <row r="456" spans="3:51" ht="14.5" customHeight="1" x14ac:dyDescent="0.3">
      <c r="C456" s="895"/>
      <c r="D456" s="26"/>
      <c r="E456" s="896"/>
      <c r="F456" s="26"/>
      <c r="H456" s="863"/>
      <c r="M456" s="54" t="s">
        <v>727</v>
      </c>
      <c r="P456" s="898"/>
    </row>
    <row r="457" spans="3:51" ht="14.5" customHeight="1" x14ac:dyDescent="0.35">
      <c r="C457" s="448" t="s">
        <v>728</v>
      </c>
      <c r="D457" s="448"/>
      <c r="E457" s="448"/>
      <c r="F457" s="26"/>
      <c r="I457" s="30" t="s">
        <v>729</v>
      </c>
      <c r="J457" s="3" t="s">
        <v>422</v>
      </c>
      <c r="K457" s="874" cm="1">
        <f t="array" ref="K457">NBCC2020_SPECTRUM_VALUE(K446, K464, "S(0.2)")</f>
        <v>0.24399999999999999</v>
      </c>
      <c r="L457" s="874"/>
      <c r="M457" s="54"/>
      <c r="N457" s="2"/>
      <c r="O457" s="30" t="s">
        <v>729</v>
      </c>
      <c r="P457" s="3" t="s">
        <v>422</v>
      </c>
      <c r="Q457" s="874" t="e">
        <f t="array" ref="Q457">NBCC2020_SPECTRUM_VALUE(E451, K464, "S(0.2)")</f>
        <v>#N/A</v>
      </c>
      <c r="AY457" s="68"/>
    </row>
    <row r="458" spans="3:51" ht="15.75" customHeight="1" x14ac:dyDescent="0.35">
      <c r="C458" s="919" t="s">
        <v>730</v>
      </c>
      <c r="I458" s="30" t="s">
        <v>731</v>
      </c>
      <c r="J458" s="3" t="s">
        <v>422</v>
      </c>
      <c r="K458" s="874">
        <f t="array" ref="K458">NBCC2020_SPECTRUM_VALUE(K446, K464, "S(0.5)")</f>
        <v>0.16</v>
      </c>
      <c r="L458" s="874"/>
      <c r="M458" s="54"/>
      <c r="N458" s="874"/>
      <c r="O458" s="30" t="s">
        <v>731</v>
      </c>
      <c r="P458" s="3" t="s">
        <v>422</v>
      </c>
      <c r="Q458" s="874" t="e">
        <f t="array" ref="Q458">NBCC2020_SPECTRUM_VALUE(E451, K464, "S(0.5)")</f>
        <v>#N/A</v>
      </c>
      <c r="AY458" s="37" t="s">
        <v>382</v>
      </c>
    </row>
    <row r="459" spans="3:51" ht="15.75" customHeight="1" x14ac:dyDescent="0.3">
      <c r="D459" s="890"/>
      <c r="I459" s="30" t="s">
        <v>732</v>
      </c>
      <c r="J459" s="3" t="s">
        <v>422</v>
      </c>
      <c r="K459" s="874" cm="1">
        <f t="array" ref="K459">NBCC2020_SPECTRUM_VALUE(K446, K464, "S(1.0)")</f>
        <v>8.2000000000000003E-2</v>
      </c>
      <c r="L459" s="874"/>
      <c r="M459" s="54"/>
      <c r="N459" s="874"/>
      <c r="O459" s="30" t="s">
        <v>732</v>
      </c>
      <c r="P459" s="3" t="s">
        <v>422</v>
      </c>
      <c r="Q459" s="874" t="e">
        <f t="array" ref="Q459">NBCC2020_SPECTRUM_VALUE(E451, K464, "S(1.0)")</f>
        <v>#N/A</v>
      </c>
      <c r="T459" s="865"/>
      <c r="U459" s="865"/>
      <c r="V459" s="865"/>
      <c r="W459" s="865"/>
      <c r="X459" s="865"/>
      <c r="Y459" s="865"/>
      <c r="Z459" s="865"/>
      <c r="AA459" s="865"/>
      <c r="AB459" s="865"/>
      <c r="AC459" s="865"/>
      <c r="AD459" s="865"/>
      <c r="AE459" s="865"/>
      <c r="AF459" s="865"/>
      <c r="AG459" s="865"/>
      <c r="AH459" s="865"/>
      <c r="AY459" s="37" t="s">
        <v>383</v>
      </c>
    </row>
    <row r="460" spans="3:51" ht="15.75" customHeight="1" x14ac:dyDescent="0.3">
      <c r="G460" s="891"/>
      <c r="I460" s="30" t="s">
        <v>733</v>
      </c>
      <c r="J460" s="3" t="s">
        <v>422</v>
      </c>
      <c r="K460" s="874">
        <f t="array" ref="K460">NBCC2020_SPECTRUM_VALUE(K446, K464, "S(2.0)")</f>
        <v>4.02E-2</v>
      </c>
      <c r="L460" s="874"/>
      <c r="M460" s="54"/>
      <c r="N460" s="874"/>
      <c r="O460" s="30" t="s">
        <v>733</v>
      </c>
      <c r="P460" s="3" t="s">
        <v>422</v>
      </c>
      <c r="Q460" s="874" t="e">
        <f t="array" ref="Q460">NBCC2020_SPECTRUM_VALUE(E451, K464, "S(2.0)")</f>
        <v>#N/A</v>
      </c>
      <c r="T460" s="865"/>
      <c r="U460" s="865"/>
      <c r="V460" s="865"/>
      <c r="W460" s="865"/>
      <c r="X460" s="865"/>
      <c r="Y460" s="865"/>
      <c r="Z460" s="865"/>
      <c r="AA460" s="865"/>
      <c r="AB460" s="865"/>
      <c r="AC460" s="865"/>
      <c r="AD460" s="865"/>
      <c r="AE460" s="865"/>
      <c r="AF460" s="865"/>
      <c r="AG460" s="865"/>
      <c r="AH460" s="865"/>
      <c r="AY460" s="37" t="s">
        <v>384</v>
      </c>
    </row>
    <row r="461" spans="3:51" ht="15.75" customHeight="1" x14ac:dyDescent="0.35">
      <c r="E461" s="883"/>
      <c r="F461" s="884"/>
      <c r="I461" s="30" t="s">
        <v>734</v>
      </c>
      <c r="J461" s="3" t="s">
        <v>422</v>
      </c>
      <c r="K461" s="874">
        <f t="array" ref="K461">NBCC2020_SPECTRUM_VALUE(K446, K464, "S(5.0)")</f>
        <v>1.8700000000000001E-2</v>
      </c>
      <c r="L461" s="874"/>
      <c r="M461" s="54"/>
      <c r="N461" s="874"/>
      <c r="O461" s="30" t="s">
        <v>734</v>
      </c>
      <c r="P461" s="3" t="s">
        <v>422</v>
      </c>
      <c r="Q461" s="874" t="e">
        <f t="array" ref="Q461">NBCC2020_SPECTRUM_VALUE(E451, K464, "S(5.0)")</f>
        <v>#N/A</v>
      </c>
      <c r="T461" s="1136"/>
      <c r="U461" s="1098"/>
      <c r="V461" s="1098"/>
      <c r="AY461" s="37" t="s">
        <v>385</v>
      </c>
    </row>
    <row r="462" spans="3:51" ht="15.75" customHeight="1" x14ac:dyDescent="0.35">
      <c r="C462" s="104"/>
      <c r="D462" s="104"/>
      <c r="E462" s="104"/>
      <c r="F462" s="104"/>
      <c r="I462" s="30" t="s">
        <v>735</v>
      </c>
      <c r="J462" s="3" t="s">
        <v>422</v>
      </c>
      <c r="K462" s="874">
        <f t="array" ref="K462">NBCC2020_SPECTRUM_VALUE(K446, K464, "S(10.0)")</f>
        <v>1.23E-2</v>
      </c>
      <c r="L462" s="874"/>
      <c r="M462" s="54"/>
      <c r="N462" s="874"/>
      <c r="O462" s="30" t="s">
        <v>735</v>
      </c>
      <c r="P462" s="3" t="s">
        <v>422</v>
      </c>
      <c r="Q462" s="874" t="e">
        <f t="array" ref="Q462">NBCC2020_SPECTRUM_VALUE(E451, K464, "S(10.0)")</f>
        <v>#N/A</v>
      </c>
      <c r="T462" s="1136"/>
      <c r="U462" s="1098"/>
      <c r="V462" s="1098"/>
      <c r="AY462" s="37" t="s">
        <v>386</v>
      </c>
    </row>
    <row r="463" spans="3:51" ht="15.75" customHeight="1" x14ac:dyDescent="0.35">
      <c r="C463" s="104" t="s">
        <v>736</v>
      </c>
      <c r="D463" s="104"/>
      <c r="E463" s="104"/>
      <c r="F463" s="104"/>
      <c r="I463" s="30" t="s">
        <v>737</v>
      </c>
      <c r="J463" s="3" t="s">
        <v>422</v>
      </c>
      <c r="K463" s="874">
        <f t="array" ref="K463">NBCC2020_SPECTRUM_VALUE(K446, K464, "PGA")</f>
        <v>0.113</v>
      </c>
      <c r="L463" s="874"/>
      <c r="M463" s="54" t="s">
        <v>738</v>
      </c>
      <c r="N463" s="874"/>
      <c r="O463" s="30" t="s">
        <v>737</v>
      </c>
      <c r="P463" s="3" t="s">
        <v>422</v>
      </c>
      <c r="Q463" s="874" t="e">
        <f t="array" ref="Q463">NBCC2020_SPECTRUM_VALUE(E451, K464, "PGA")</f>
        <v>#N/A</v>
      </c>
      <c r="T463" s="8"/>
      <c r="U463" s="8"/>
      <c r="V463" s="8"/>
      <c r="AY463" s="37" t="s">
        <v>387</v>
      </c>
    </row>
    <row r="464" spans="3:51" ht="16.5" customHeight="1" x14ac:dyDescent="0.35">
      <c r="C464" s="104" t="s">
        <v>739</v>
      </c>
      <c r="D464" s="104"/>
      <c r="E464" s="104"/>
      <c r="F464" s="104"/>
      <c r="I464" s="30" t="s">
        <v>740</v>
      </c>
      <c r="J464" s="3" t="s">
        <v>422</v>
      </c>
      <c r="K464" s="875" t="s">
        <v>79</v>
      </c>
      <c r="M464" s="54"/>
      <c r="N464" s="59"/>
      <c r="O464" s="30"/>
      <c r="P464" s="3"/>
      <c r="Q464" s="875"/>
      <c r="T464" s="8"/>
      <c r="U464" s="8"/>
      <c r="V464" s="8"/>
      <c r="AY464" s="37" t="s">
        <v>388</v>
      </c>
    </row>
    <row r="465" spans="3:51" ht="16.5" customHeight="1" x14ac:dyDescent="0.35">
      <c r="C465" s="104"/>
      <c r="D465" s="104"/>
      <c r="E465" s="104"/>
      <c r="F465" s="104"/>
      <c r="I465" s="927"/>
      <c r="J465" s="928"/>
      <c r="K465" s="933" t="str">
        <f t="array" ref="K465">GetVs30Range(K464)</f>
        <v>Dense soil/soft rock - Vs30 = 360–760 m/s</v>
      </c>
      <c r="L465" s="934"/>
      <c r="M465" s="54" t="s">
        <v>742</v>
      </c>
      <c r="N465" s="59"/>
      <c r="P465" s="54"/>
      <c r="Q465" s="54"/>
      <c r="T465" s="8"/>
      <c r="U465" s="8"/>
      <c r="V465" s="8"/>
      <c r="AY465" s="37"/>
    </row>
    <row r="466" spans="3:51" ht="16.5" customHeight="1" x14ac:dyDescent="0.35">
      <c r="C466" s="104"/>
      <c r="D466" s="104"/>
      <c r="E466" s="104"/>
      <c r="F466" s="104"/>
      <c r="I466" s="927"/>
      <c r="J466" s="928"/>
      <c r="K466" s="933"/>
      <c r="L466" s="934"/>
      <c r="M466" s="54"/>
      <c r="N466" s="59"/>
      <c r="P466" s="54"/>
      <c r="Q466" s="54"/>
      <c r="T466" s="8"/>
      <c r="U466" s="8"/>
      <c r="V466" s="8"/>
      <c r="AY466" s="37"/>
    </row>
    <row r="467" spans="3:51" ht="15.75" customHeight="1" x14ac:dyDescent="0.35">
      <c r="C467" s="104" t="s">
        <v>743</v>
      </c>
      <c r="D467" s="104"/>
      <c r="E467" s="104"/>
      <c r="F467" s="104"/>
      <c r="N467" s="59"/>
      <c r="P467" s="54"/>
      <c r="AY467" s="37" t="s">
        <v>389</v>
      </c>
    </row>
    <row r="468" spans="3:51" ht="15.75" customHeight="1" x14ac:dyDescent="0.35">
      <c r="C468" s="104" t="s">
        <v>744</v>
      </c>
      <c r="D468" s="104"/>
      <c r="E468" s="104"/>
      <c r="F468" s="104"/>
      <c r="M468" s="8"/>
      <c r="N468" s="8"/>
      <c r="T468" s="903"/>
      <c r="U468" s="903"/>
      <c r="V468" s="903"/>
      <c r="W468" s="903"/>
      <c r="X468" s="903"/>
      <c r="Y468" s="903"/>
    </row>
    <row r="469" spans="3:51" ht="15.75" customHeight="1" x14ac:dyDescent="0.35">
      <c r="C469" s="371" t="s">
        <v>745</v>
      </c>
      <c r="D469" s="939"/>
      <c r="E469" s="939"/>
      <c r="F469" s="939"/>
      <c r="G469" s="865"/>
      <c r="H469" s="865"/>
      <c r="I469" s="865"/>
      <c r="J469" s="865"/>
      <c r="K469" s="865"/>
      <c r="L469" s="865"/>
      <c r="N469" s="865"/>
      <c r="O469" s="865"/>
      <c r="P469" s="865"/>
      <c r="Q469" s="865"/>
      <c r="R469" s="865"/>
      <c r="T469" s="904"/>
      <c r="U469" s="904"/>
      <c r="V469" s="904"/>
      <c r="W469" s="8"/>
      <c r="X469" s="8"/>
      <c r="Y469" s="8"/>
    </row>
    <row r="470" spans="3:51" ht="15.75" customHeight="1" x14ac:dyDescent="0.35">
      <c r="C470" s="371"/>
      <c r="D470" s="939"/>
      <c r="E470" s="939"/>
      <c r="F470" s="939"/>
      <c r="G470" s="865"/>
      <c r="H470" s="865"/>
      <c r="I470" s="865"/>
      <c r="J470" s="865"/>
      <c r="K470" s="865"/>
      <c r="L470" s="865"/>
      <c r="N470" s="865"/>
      <c r="O470" s="865"/>
      <c r="P470" s="865"/>
      <c r="Q470" s="865"/>
      <c r="R470" s="865"/>
      <c r="T470" s="904"/>
      <c r="U470" s="904"/>
      <c r="V470" s="904"/>
      <c r="W470" s="8"/>
      <c r="X470" s="8"/>
      <c r="Y470" s="8"/>
    </row>
    <row r="471" spans="3:51" ht="15.75" customHeight="1" x14ac:dyDescent="0.35">
      <c r="C471" s="939"/>
      <c r="D471" s="939"/>
      <c r="E471" s="939"/>
      <c r="F471" s="939"/>
      <c r="G471" s="865"/>
      <c r="H471" s="865"/>
      <c r="I471" s="865"/>
      <c r="J471" s="865"/>
      <c r="K471" s="865"/>
      <c r="L471" s="865"/>
      <c r="M471" s="865"/>
      <c r="N471" s="865"/>
      <c r="O471" s="865"/>
      <c r="P471" s="865"/>
      <c r="Q471" s="865"/>
      <c r="R471" s="865"/>
      <c r="T471" s="904"/>
      <c r="U471" s="904"/>
      <c r="V471" s="904"/>
      <c r="W471" s="8"/>
      <c r="X471" s="8"/>
      <c r="Y471" s="8"/>
    </row>
    <row r="472" spans="3:51" ht="15.75" customHeight="1" x14ac:dyDescent="0.35">
      <c r="C472" s="104" t="s">
        <v>746</v>
      </c>
      <c r="D472" s="104"/>
      <c r="E472" s="104"/>
      <c r="F472" s="104"/>
      <c r="I472" s="646" t="s">
        <v>747</v>
      </c>
      <c r="J472" s="3" t="s">
        <v>422</v>
      </c>
      <c r="K472" s="59">
        <v>1.5</v>
      </c>
      <c r="L472" s="59"/>
      <c r="M472" s="52" t="s">
        <v>748</v>
      </c>
      <c r="N472" s="2"/>
      <c r="W472" s="8"/>
      <c r="X472" s="8"/>
      <c r="Y472" s="8"/>
    </row>
    <row r="473" spans="3:51" ht="15.75" customHeight="1" x14ac:dyDescent="0.35">
      <c r="C473" s="104" t="s">
        <v>749</v>
      </c>
      <c r="D473" s="104"/>
      <c r="E473" s="104"/>
      <c r="F473" s="104"/>
      <c r="G473" s="882"/>
      <c r="I473" s="646" t="s">
        <v>750</v>
      </c>
      <c r="J473" s="3" t="s">
        <v>422</v>
      </c>
      <c r="K473" s="59">
        <v>1.3</v>
      </c>
      <c r="L473" s="59"/>
      <c r="M473" s="52" t="s">
        <v>748</v>
      </c>
      <c r="N473" s="2"/>
      <c r="W473" s="903"/>
      <c r="X473" s="903"/>
      <c r="Y473" s="903"/>
    </row>
    <row r="474" spans="3:51" ht="15.75" customHeight="1" x14ac:dyDescent="0.35">
      <c r="C474" s="104"/>
      <c r="D474" s="104"/>
      <c r="E474" s="104"/>
      <c r="F474" s="104"/>
      <c r="G474" s="882"/>
      <c r="I474" s="646"/>
      <c r="J474" s="3"/>
      <c r="K474" s="59"/>
      <c r="L474" s="59"/>
      <c r="M474" s="52"/>
      <c r="N474" s="2"/>
      <c r="W474" s="903"/>
      <c r="X474" s="903"/>
      <c r="Y474" s="903"/>
    </row>
    <row r="475" spans="3:51" ht="15.75" customHeight="1" x14ac:dyDescent="0.35">
      <c r="I475" s="646"/>
      <c r="M475" s="52"/>
      <c r="N475" s="2"/>
      <c r="T475" s="903"/>
      <c r="U475" s="903"/>
      <c r="V475" s="903"/>
      <c r="W475" s="903"/>
      <c r="X475" s="903"/>
      <c r="Y475" s="903"/>
    </row>
    <row r="476" spans="3:51" ht="15.75" customHeight="1" x14ac:dyDescent="0.35">
      <c r="C476" s="70" t="s">
        <v>751</v>
      </c>
      <c r="D476" s="49"/>
      <c r="E476" s="49"/>
      <c r="F476" s="49"/>
      <c r="G476" s="49"/>
      <c r="I476" s="646"/>
      <c r="L476" s="47"/>
      <c r="M476" s="52"/>
      <c r="N476" s="2"/>
      <c r="T476" s="905"/>
      <c r="U476" s="905"/>
      <c r="V476" s="905"/>
    </row>
    <row r="477" spans="3:51" ht="22.5" customHeight="1" thickBot="1" x14ac:dyDescent="0.45">
      <c r="C477" s="104" t="s">
        <v>752</v>
      </c>
      <c r="D477" s="104"/>
      <c r="E477" s="104"/>
      <c r="I477" s="646" t="s">
        <v>509</v>
      </c>
      <c r="J477" s="3" t="s">
        <v>422</v>
      </c>
      <c r="K477" s="938" t="s">
        <v>753</v>
      </c>
      <c r="L477" s="935"/>
      <c r="M477" s="945"/>
      <c r="N477" s="8"/>
      <c r="O477" s="8"/>
      <c r="P477" s="8"/>
      <c r="T477" s="903"/>
      <c r="U477" s="903"/>
      <c r="V477" s="903"/>
      <c r="W477" s="903"/>
      <c r="X477" s="903"/>
      <c r="Y477" s="903"/>
      <c r="AB477" s="1132"/>
      <c r="AC477" s="1133"/>
      <c r="AD477" s="1133"/>
      <c r="AE477" s="1133"/>
      <c r="AF477" s="1133"/>
      <c r="AG477" s="1133"/>
    </row>
    <row r="478" spans="3:51" ht="15.75" customHeight="1" thickTop="1" x14ac:dyDescent="0.4">
      <c r="C478" s="104"/>
      <c r="D478" s="104"/>
      <c r="E478" s="104"/>
      <c r="K478" s="936" t="s">
        <v>754</v>
      </c>
      <c r="L478" s="937"/>
      <c r="M478" s="945"/>
      <c r="N478" s="8"/>
      <c r="O478" s="8"/>
      <c r="P478" s="8"/>
      <c r="T478" s="903"/>
      <c r="U478" s="903"/>
      <c r="V478" s="903"/>
      <c r="W478" s="903"/>
      <c r="X478" s="903"/>
      <c r="Y478" s="903"/>
    </row>
    <row r="479" spans="3:51" ht="15.75" customHeight="1" x14ac:dyDescent="0.4">
      <c r="C479" s="104"/>
      <c r="D479" s="104"/>
      <c r="E479" s="104"/>
      <c r="K479" s="936"/>
      <c r="L479" s="937"/>
      <c r="M479" s="945"/>
      <c r="N479" s="8"/>
      <c r="O479" s="8"/>
      <c r="P479" s="8"/>
      <c r="T479" s="903"/>
      <c r="U479" s="903"/>
      <c r="V479" s="903"/>
      <c r="W479" s="903"/>
      <c r="X479" s="903"/>
      <c r="Y479" s="903"/>
    </row>
    <row r="480" spans="3:51" ht="15.65" customHeight="1" x14ac:dyDescent="0.35">
      <c r="C480" s="104" t="s">
        <v>755</v>
      </c>
      <c r="D480" s="104"/>
      <c r="E480" s="104"/>
      <c r="M480" s="52"/>
      <c r="N480" s="2"/>
      <c r="T480" s="904"/>
      <c r="U480" s="904"/>
      <c r="V480" s="904"/>
      <c r="AB480" s="1134"/>
      <c r="AC480" s="1135"/>
      <c r="AD480" s="1135"/>
      <c r="AE480" s="1135"/>
      <c r="AF480" s="1135"/>
      <c r="AG480" s="1135"/>
    </row>
    <row r="481" spans="2:64" ht="15.65" customHeight="1" x14ac:dyDescent="0.35">
      <c r="C481" s="104" t="s">
        <v>756</v>
      </c>
      <c r="D481" s="104"/>
      <c r="E481" s="104"/>
      <c r="M481" s="52"/>
      <c r="N481" s="2"/>
      <c r="T481" s="905"/>
      <c r="U481" s="905"/>
      <c r="V481" s="905"/>
    </row>
    <row r="482" spans="2:64" ht="15.75" customHeight="1" x14ac:dyDescent="0.35">
      <c r="B482" s="32"/>
      <c r="C482" s="104"/>
      <c r="D482" s="104"/>
      <c r="E482" s="104"/>
      <c r="M482" s="52"/>
      <c r="N482" s="2"/>
      <c r="T482" s="845"/>
      <c r="U482" s="845"/>
      <c r="V482" s="845"/>
      <c r="AJ482" s="35"/>
      <c r="AK482" s="35"/>
      <c r="AL482" s="35"/>
      <c r="AM482" s="35"/>
    </row>
    <row r="483" spans="2:64" ht="15.75" customHeight="1" x14ac:dyDescent="0.35">
      <c r="B483" s="7"/>
      <c r="C483" s="104" t="s">
        <v>757</v>
      </c>
      <c r="D483" s="104"/>
      <c r="E483" s="104"/>
      <c r="M483" s="52"/>
      <c r="N483" s="2"/>
      <c r="T483" s="1136"/>
      <c r="U483" s="1098"/>
      <c r="V483" s="1098"/>
      <c r="AJ483" s="35"/>
      <c r="AK483" s="35"/>
      <c r="AL483" s="35"/>
      <c r="AM483" s="35"/>
    </row>
    <row r="484" spans="2:64" ht="15.75" customHeight="1" x14ac:dyDescent="0.5">
      <c r="C484" s="104"/>
      <c r="D484" s="104"/>
      <c r="E484" s="104"/>
      <c r="M484" s="52"/>
      <c r="N484" s="2"/>
      <c r="T484" s="8"/>
      <c r="U484" s="8"/>
      <c r="V484" s="8"/>
      <c r="AI484" s="64"/>
      <c r="AJ484" s="65"/>
      <c r="AK484" s="65"/>
      <c r="AL484" s="65"/>
      <c r="AM484" s="65"/>
      <c r="AN484" s="65"/>
    </row>
    <row r="485" spans="2:64" ht="15.75" customHeight="1" x14ac:dyDescent="0.35">
      <c r="C485" s="104"/>
      <c r="D485" s="104"/>
      <c r="E485" s="104"/>
      <c r="M485" s="52"/>
      <c r="N485" s="2"/>
      <c r="T485" s="846"/>
      <c r="U485" s="8"/>
      <c r="V485" s="8"/>
    </row>
    <row r="486" spans="2:64" ht="15.75" customHeight="1" x14ac:dyDescent="0.35">
      <c r="C486" s="104" t="s">
        <v>758</v>
      </c>
      <c r="D486" s="104"/>
      <c r="E486" s="104"/>
      <c r="M486" s="52"/>
      <c r="N486" s="2"/>
      <c r="T486" s="1138"/>
      <c r="U486" s="1098"/>
      <c r="V486" s="1098"/>
    </row>
    <row r="487" spans="2:64" ht="14.5" customHeight="1" x14ac:dyDescent="0.35">
      <c r="C487" s="104"/>
      <c r="D487" s="104"/>
      <c r="E487" s="104"/>
      <c r="M487" s="52"/>
      <c r="N487" s="2"/>
      <c r="T487" s="1139"/>
      <c r="U487" s="1098"/>
      <c r="V487" s="1098"/>
    </row>
    <row r="488" spans="2:64" ht="14.5" customHeight="1" x14ac:dyDescent="0.35">
      <c r="C488" s="104"/>
      <c r="D488" s="104"/>
      <c r="E488" s="104"/>
      <c r="M488" s="52"/>
      <c r="N488" s="2"/>
      <c r="T488" s="846"/>
      <c r="U488" s="8"/>
      <c r="V488" s="8"/>
    </row>
    <row r="489" spans="2:64" ht="14.5" customHeight="1" x14ac:dyDescent="0.35">
      <c r="C489" s="104"/>
      <c r="D489" s="104"/>
      <c r="E489" s="104"/>
      <c r="M489" s="52"/>
      <c r="N489" s="2"/>
      <c r="T489" s="1138"/>
      <c r="U489" s="1098"/>
      <c r="V489" s="1098"/>
    </row>
    <row r="490" spans="2:64" ht="14.5" customHeight="1" x14ac:dyDescent="0.35">
      <c r="C490" s="104"/>
      <c r="D490" s="104"/>
      <c r="E490" s="104"/>
      <c r="M490" s="946"/>
      <c r="N490" s="2"/>
      <c r="T490" s="1139"/>
      <c r="U490" s="1098"/>
      <c r="V490" s="1098"/>
      <c r="AJ490" s="2"/>
      <c r="AK490" s="2"/>
      <c r="AL490" s="2"/>
      <c r="AM490" s="2"/>
      <c r="AN490" s="2"/>
      <c r="AO490" s="2"/>
      <c r="AP490" s="2"/>
      <c r="AT490" s="817" t="s">
        <v>759</v>
      </c>
      <c r="AU490" s="818"/>
      <c r="AV490" s="818"/>
      <c r="AW490" s="818"/>
      <c r="AX490" s="818"/>
      <c r="AY490" s="818"/>
    </row>
    <row r="491" spans="2:64" ht="20" customHeight="1" x14ac:dyDescent="0.35">
      <c r="C491" s="104" t="s">
        <v>760</v>
      </c>
      <c r="D491" s="104"/>
      <c r="E491" s="104"/>
      <c r="I491" s="334" t="s">
        <v>761</v>
      </c>
      <c r="J491" s="430" t="s">
        <v>422</v>
      </c>
      <c r="K491" s="306">
        <v>10</v>
      </c>
      <c r="L491" s="940" t="s">
        <v>392</v>
      </c>
      <c r="M491" s="52"/>
      <c r="N491" s="2"/>
      <c r="T491" s="1136"/>
      <c r="U491" s="1098"/>
      <c r="V491" s="1098"/>
      <c r="AI491" s="819" t="s">
        <v>762</v>
      </c>
      <c r="AJ491" s="819" t="s">
        <v>381</v>
      </c>
      <c r="AK491" s="819" t="s">
        <v>763</v>
      </c>
      <c r="AL491" s="819" t="s">
        <v>764</v>
      </c>
      <c r="AM491" s="819" t="s">
        <v>765</v>
      </c>
      <c r="AN491" s="819" t="s">
        <v>766</v>
      </c>
      <c r="AS491" s="820"/>
      <c r="AT491" s="821"/>
      <c r="AU491" s="821"/>
      <c r="AV491" s="821"/>
      <c r="AW491" s="821"/>
      <c r="AX491" s="821"/>
    </row>
    <row r="492" spans="2:64" ht="22" customHeight="1" x14ac:dyDescent="0.35">
      <c r="C492" s="104" t="s">
        <v>767</v>
      </c>
      <c r="D492" s="104"/>
      <c r="E492" s="104"/>
      <c r="I492" s="646" t="s">
        <v>768</v>
      </c>
      <c r="J492" s="941" t="s">
        <v>422</v>
      </c>
      <c r="K492" s="942" t="s">
        <v>769</v>
      </c>
      <c r="M492" s="52"/>
      <c r="N492" s="2"/>
      <c r="T492" s="8"/>
      <c r="U492" s="8"/>
      <c r="V492" s="8"/>
      <c r="AI492" s="822" t="s">
        <v>770</v>
      </c>
      <c r="AJ492" s="823">
        <v>63400</v>
      </c>
      <c r="AK492" s="824">
        <v>1118</v>
      </c>
      <c r="AL492" s="824">
        <v>25.9</v>
      </c>
      <c r="AM492" s="824">
        <v>405</v>
      </c>
      <c r="AN492" s="824">
        <v>45</v>
      </c>
      <c r="AS492" s="825" t="s">
        <v>771</v>
      </c>
      <c r="AT492" s="825" t="s">
        <v>772</v>
      </c>
      <c r="AU492" s="825" t="s">
        <v>773</v>
      </c>
      <c r="AV492" s="825" t="s">
        <v>774</v>
      </c>
      <c r="AW492" s="825" t="s">
        <v>775</v>
      </c>
      <c r="AX492" s="825" t="s">
        <v>776</v>
      </c>
    </row>
    <row r="493" spans="2:64" ht="14.5" customHeight="1" x14ac:dyDescent="0.35">
      <c r="C493" s="104" t="s">
        <v>777</v>
      </c>
      <c r="D493" s="104"/>
      <c r="E493" s="104"/>
      <c r="M493" s="945"/>
      <c r="N493" s="8"/>
      <c r="T493" s="8"/>
      <c r="U493" s="8"/>
      <c r="V493" s="8"/>
      <c r="AI493" s="826" t="s">
        <v>778</v>
      </c>
      <c r="AJ493" s="827">
        <v>55300</v>
      </c>
      <c r="AK493" s="828">
        <v>1108</v>
      </c>
      <c r="AL493" s="828">
        <v>22.1</v>
      </c>
      <c r="AM493" s="828">
        <v>402</v>
      </c>
      <c r="AN493" s="828">
        <v>40.1</v>
      </c>
      <c r="AO493" s="818"/>
      <c r="AP493" s="818"/>
      <c r="AQ493" s="821"/>
      <c r="AR493" s="821"/>
      <c r="AS493" s="829">
        <v>335</v>
      </c>
      <c r="AT493" s="824">
        <v>499</v>
      </c>
      <c r="AU493" s="830">
        <v>4.5</v>
      </c>
      <c r="AV493" s="831">
        <v>39.700000000000003</v>
      </c>
      <c r="AW493" s="824">
        <v>12900</v>
      </c>
      <c r="AX493" s="824">
        <v>23100</v>
      </c>
      <c r="AY493" s="821"/>
      <c r="AZ493" s="821"/>
      <c r="BA493" s="821"/>
      <c r="BB493" s="821"/>
      <c r="BC493" s="821"/>
      <c r="BD493" s="821"/>
      <c r="BE493" s="821"/>
      <c r="BF493" s="821"/>
      <c r="BG493" s="821"/>
      <c r="BH493" s="821"/>
      <c r="BI493" s="821"/>
      <c r="BJ493" s="821"/>
      <c r="BK493" s="821"/>
      <c r="BL493" s="820"/>
    </row>
    <row r="494" spans="2:64" ht="16" customHeight="1" x14ac:dyDescent="0.35">
      <c r="C494" s="104"/>
      <c r="D494" s="104"/>
      <c r="E494" s="104"/>
      <c r="I494" s="3" t="s">
        <v>779</v>
      </c>
      <c r="J494" s="3" t="s">
        <v>422</v>
      </c>
      <c r="K494" s="874">
        <v>3.5400000000000001E-2</v>
      </c>
      <c r="M494" s="52"/>
      <c r="N494" s="874"/>
      <c r="O494" s="874"/>
      <c r="T494" s="1137"/>
      <c r="U494" s="1098"/>
      <c r="V494" s="1098"/>
      <c r="AI494" s="826" t="s">
        <v>780</v>
      </c>
      <c r="AJ494" s="827">
        <v>49900</v>
      </c>
      <c r="AK494" s="828">
        <v>1100</v>
      </c>
      <c r="AL494" s="828">
        <v>20.100000000000001</v>
      </c>
      <c r="AM494" s="828">
        <v>400</v>
      </c>
      <c r="AN494" s="828">
        <v>36.1</v>
      </c>
      <c r="AO494" s="832" t="s">
        <v>781</v>
      </c>
      <c r="AP494" s="832" t="s">
        <v>782</v>
      </c>
      <c r="AQ494" s="832" t="s">
        <v>783</v>
      </c>
      <c r="AR494" s="832" t="s">
        <v>784</v>
      </c>
      <c r="AS494" s="833">
        <v>290</v>
      </c>
      <c r="AT494" s="828">
        <v>433</v>
      </c>
      <c r="AU494" s="834">
        <v>5.01</v>
      </c>
      <c r="AV494" s="835">
        <v>46.5</v>
      </c>
      <c r="AW494" s="828">
        <v>11300</v>
      </c>
      <c r="AX494" s="828">
        <v>20400</v>
      </c>
      <c r="AY494" s="825" t="s">
        <v>785</v>
      </c>
      <c r="AZ494" s="825" t="s">
        <v>786</v>
      </c>
      <c r="BA494" s="825" t="s">
        <v>787</v>
      </c>
      <c r="BB494" s="825" t="s">
        <v>788</v>
      </c>
      <c r="BC494" s="825" t="s">
        <v>789</v>
      </c>
      <c r="BD494" s="825" t="s">
        <v>790</v>
      </c>
      <c r="BE494" s="825" t="s">
        <v>791</v>
      </c>
      <c r="BF494" s="825" t="s">
        <v>792</v>
      </c>
      <c r="BG494" s="825" t="s">
        <v>793</v>
      </c>
      <c r="BH494" s="825" t="s">
        <v>439</v>
      </c>
      <c r="BI494" s="825" t="s">
        <v>794</v>
      </c>
      <c r="BJ494" s="825" t="s">
        <v>795</v>
      </c>
      <c r="BK494" s="825" t="s">
        <v>796</v>
      </c>
      <c r="BL494" s="825" t="s">
        <v>797</v>
      </c>
    </row>
    <row r="495" spans="2:64" ht="16.5" customHeight="1" x14ac:dyDescent="0.35">
      <c r="C495" s="104"/>
      <c r="D495" s="104"/>
      <c r="E495" s="104"/>
      <c r="I495" s="3" t="s">
        <v>798</v>
      </c>
      <c r="J495" s="3" t="s">
        <v>422</v>
      </c>
      <c r="K495" s="944" t="s">
        <v>799</v>
      </c>
      <c r="M495" s="52"/>
      <c r="N495" s="2"/>
      <c r="O495" s="8"/>
      <c r="T495" s="8"/>
      <c r="U495" s="8"/>
      <c r="V495" s="8"/>
      <c r="AI495" s="826" t="s">
        <v>800</v>
      </c>
      <c r="AJ495" s="827">
        <v>43600</v>
      </c>
      <c r="AK495" s="828">
        <v>1090</v>
      </c>
      <c r="AL495" s="828">
        <v>18</v>
      </c>
      <c r="AM495" s="828">
        <v>400</v>
      </c>
      <c r="AN495" s="828">
        <v>31</v>
      </c>
      <c r="AO495" s="830" t="s">
        <v>801</v>
      </c>
      <c r="AP495" s="830">
        <v>67</v>
      </c>
      <c r="AQ495" s="836">
        <v>33</v>
      </c>
      <c r="AR495" s="837">
        <v>44</v>
      </c>
      <c r="AS495" s="833">
        <v>262</v>
      </c>
      <c r="AT495" s="828">
        <v>390</v>
      </c>
      <c r="AU495" s="834">
        <v>5.54</v>
      </c>
      <c r="AV495" s="835">
        <v>51.1</v>
      </c>
      <c r="AW495" s="828">
        <v>10100</v>
      </c>
      <c r="AX495" s="828">
        <v>18300</v>
      </c>
      <c r="AY495" s="824">
        <v>452</v>
      </c>
      <c r="AZ495" s="824">
        <v>26600</v>
      </c>
      <c r="BA495" s="824">
        <v>500</v>
      </c>
      <c r="BB495" s="824">
        <v>2470</v>
      </c>
      <c r="BC495" s="824">
        <v>88.8</v>
      </c>
      <c r="BD495" s="824">
        <v>3870</v>
      </c>
      <c r="BE495" s="830">
        <v>0.60607606619877818</v>
      </c>
      <c r="BF495" s="831">
        <v>1073</v>
      </c>
      <c r="BG495" s="824">
        <v>31000</v>
      </c>
      <c r="BH495" s="824">
        <v>144000</v>
      </c>
      <c r="BI495" s="824">
        <v>109000</v>
      </c>
      <c r="BJ495" s="824">
        <v>495</v>
      </c>
      <c r="BK495" s="824">
        <v>4580</v>
      </c>
      <c r="BL495" s="838">
        <v>13200</v>
      </c>
    </row>
    <row r="496" spans="2:64" ht="14.5" customHeight="1" x14ac:dyDescent="0.35">
      <c r="C496" s="104" t="s">
        <v>802</v>
      </c>
      <c r="D496" s="104"/>
      <c r="E496" s="104"/>
      <c r="I496" s="3"/>
      <c r="J496" s="3" t="s">
        <v>422</v>
      </c>
      <c r="K496" s="8">
        <f>0.025*M490</f>
        <v>0</v>
      </c>
      <c r="L496" s="2" t="s">
        <v>803</v>
      </c>
      <c r="M496" s="52"/>
      <c r="N496" s="2"/>
      <c r="O496" s="8"/>
      <c r="S496" s="8"/>
      <c r="T496" s="8"/>
      <c r="U496" s="8"/>
      <c r="AI496" s="826" t="s">
        <v>804</v>
      </c>
      <c r="AJ496" s="827">
        <v>113000</v>
      </c>
      <c r="AK496" s="828">
        <v>1092</v>
      </c>
      <c r="AL496" s="828">
        <v>45.5</v>
      </c>
      <c r="AM496" s="828">
        <v>424</v>
      </c>
      <c r="AN496" s="828">
        <v>82</v>
      </c>
      <c r="AO496" s="834" t="s">
        <v>805</v>
      </c>
      <c r="AP496" s="834">
        <v>62</v>
      </c>
      <c r="AQ496" s="839">
        <v>31</v>
      </c>
      <c r="AR496" s="840">
        <v>44</v>
      </c>
      <c r="AS496" s="833">
        <v>230</v>
      </c>
      <c r="AT496" s="828">
        <v>343</v>
      </c>
      <c r="AU496" s="834">
        <v>6.45</v>
      </c>
      <c r="AV496" s="835">
        <v>57.1</v>
      </c>
      <c r="AW496" s="828">
        <v>8670</v>
      </c>
      <c r="AX496" s="828">
        <v>15900</v>
      </c>
      <c r="AY496" s="828">
        <v>452</v>
      </c>
      <c r="AZ496" s="828">
        <v>23200</v>
      </c>
      <c r="BA496" s="828">
        <v>435</v>
      </c>
      <c r="BB496" s="828">
        <v>2170</v>
      </c>
      <c r="BC496" s="828">
        <v>88.7</v>
      </c>
      <c r="BD496" s="828">
        <v>3370</v>
      </c>
      <c r="BE496" s="834">
        <v>0.60001575186804501</v>
      </c>
      <c r="BF496" s="835">
        <v>1067.9000000000001</v>
      </c>
      <c r="BG496" s="828">
        <v>21400</v>
      </c>
      <c r="BH496" s="828">
        <v>124000</v>
      </c>
      <c r="BI496" s="828">
        <v>107000</v>
      </c>
      <c r="BJ496" s="828">
        <v>433</v>
      </c>
      <c r="BK496" s="828">
        <v>4070</v>
      </c>
      <c r="BL496" s="841">
        <v>11500</v>
      </c>
    </row>
    <row r="497" spans="3:64" ht="16" customHeight="1" x14ac:dyDescent="0.35">
      <c r="C497" s="104"/>
      <c r="D497" s="104"/>
      <c r="E497" s="104"/>
      <c r="I497" s="3" t="s">
        <v>779</v>
      </c>
      <c r="J497" s="3" t="s">
        <v>422</v>
      </c>
      <c r="K497" s="874">
        <v>5.1499999999999997E-2</v>
      </c>
      <c r="M497" s="52"/>
      <c r="N497" s="943"/>
      <c r="O497" s="943"/>
      <c r="S497" s="8"/>
      <c r="T497" s="8"/>
      <c r="U497" s="8"/>
      <c r="AI497" s="826" t="s">
        <v>806</v>
      </c>
      <c r="AJ497" s="827">
        <v>95500</v>
      </c>
      <c r="AK497" s="828">
        <v>1068</v>
      </c>
      <c r="AL497" s="828">
        <v>39.1</v>
      </c>
      <c r="AM497" s="828">
        <v>417</v>
      </c>
      <c r="AN497" s="828">
        <v>70.099999999999994</v>
      </c>
      <c r="AO497" s="834" t="s">
        <v>807</v>
      </c>
      <c r="AP497" s="834">
        <v>58</v>
      </c>
      <c r="AQ497" s="828">
        <v>30</v>
      </c>
      <c r="AR497" s="840">
        <v>44</v>
      </c>
      <c r="AS497" s="833">
        <v>593</v>
      </c>
      <c r="AT497" s="828">
        <v>883</v>
      </c>
      <c r="AU497" s="834">
        <v>2.59</v>
      </c>
      <c r="AV497" s="835">
        <v>20.399999999999999</v>
      </c>
      <c r="AW497" s="828">
        <v>21000</v>
      </c>
      <c r="AX497" s="828">
        <v>38400</v>
      </c>
      <c r="AY497" s="828">
        <v>450</v>
      </c>
      <c r="AZ497" s="828">
        <v>20800</v>
      </c>
      <c r="BA497" s="828">
        <v>386</v>
      </c>
      <c r="BB497" s="828">
        <v>1930</v>
      </c>
      <c r="BC497" s="828">
        <v>87.9</v>
      </c>
      <c r="BD497" s="828">
        <v>3000</v>
      </c>
      <c r="BE497" s="834">
        <v>0.59535760525143333</v>
      </c>
      <c r="BF497" s="835">
        <v>1063.9000000000001</v>
      </c>
      <c r="BG497" s="828">
        <v>15700</v>
      </c>
      <c r="BH497" s="828">
        <v>109000</v>
      </c>
      <c r="BI497" s="828">
        <v>106000</v>
      </c>
      <c r="BJ497" s="828">
        <v>384</v>
      </c>
      <c r="BK497" s="828">
        <v>3650</v>
      </c>
      <c r="BL497" s="841">
        <v>10300</v>
      </c>
    </row>
    <row r="498" spans="3:64" ht="16" customHeight="1" x14ac:dyDescent="0.35">
      <c r="C498" s="104" t="s">
        <v>808</v>
      </c>
      <c r="D498" s="104"/>
      <c r="E498" s="104"/>
      <c r="I498" s="3" t="s">
        <v>809</v>
      </c>
      <c r="J498" s="3" t="s">
        <v>422</v>
      </c>
      <c r="K498" s="59">
        <v>1</v>
      </c>
      <c r="M498" s="52" t="s">
        <v>810</v>
      </c>
      <c r="N498" s="2"/>
      <c r="S498" s="8"/>
      <c r="T498" s="8"/>
      <c r="U498" s="8"/>
      <c r="AI498" s="826" t="s">
        <v>811</v>
      </c>
      <c r="AJ498" s="827">
        <v>81700</v>
      </c>
      <c r="AK498" s="828">
        <v>1048</v>
      </c>
      <c r="AL498" s="828">
        <v>34</v>
      </c>
      <c r="AM498" s="828">
        <v>412</v>
      </c>
      <c r="AN498" s="828">
        <v>59.9</v>
      </c>
      <c r="AO498" s="834" t="s">
        <v>812</v>
      </c>
      <c r="AP498" s="834">
        <v>53</v>
      </c>
      <c r="AQ498" s="839">
        <v>29</v>
      </c>
      <c r="AR498" s="840">
        <v>44</v>
      </c>
      <c r="AS498" s="833">
        <v>503</v>
      </c>
      <c r="AT498" s="828">
        <v>748</v>
      </c>
      <c r="AU498" s="834">
        <v>2.97</v>
      </c>
      <c r="AV498" s="835">
        <v>23.7</v>
      </c>
      <c r="AW498" s="828">
        <v>17300</v>
      </c>
      <c r="AX498" s="828">
        <v>32500</v>
      </c>
      <c r="AY498" s="828">
        <v>446</v>
      </c>
      <c r="AZ498" s="828">
        <v>18100</v>
      </c>
      <c r="BA498" s="828">
        <v>331</v>
      </c>
      <c r="BB498" s="828">
        <v>1660</v>
      </c>
      <c r="BC498" s="828">
        <v>87.1</v>
      </c>
      <c r="BD498" s="828">
        <v>2570</v>
      </c>
      <c r="BE498" s="834">
        <v>0.5905577385380999</v>
      </c>
      <c r="BF498" s="835">
        <v>1059</v>
      </c>
      <c r="BG498" s="828">
        <v>10300</v>
      </c>
      <c r="BH498" s="828">
        <v>92900</v>
      </c>
      <c r="BI498" s="828">
        <v>106000</v>
      </c>
      <c r="BJ498" s="828">
        <v>328</v>
      </c>
      <c r="BK498" s="828">
        <v>3140</v>
      </c>
      <c r="BL498" s="841">
        <v>8940</v>
      </c>
    </row>
    <row r="499" spans="3:64" ht="14.5" customHeight="1" x14ac:dyDescent="0.35">
      <c r="C499" s="104" t="s">
        <v>813</v>
      </c>
      <c r="D499" s="104"/>
      <c r="E499" s="104"/>
      <c r="N499" s="2"/>
      <c r="S499" s="8"/>
      <c r="T499" s="8"/>
      <c r="U499" s="8"/>
      <c r="AI499" s="826" t="s">
        <v>814</v>
      </c>
      <c r="AJ499" s="827">
        <v>75300</v>
      </c>
      <c r="AK499" s="828">
        <v>1040</v>
      </c>
      <c r="AL499" s="828">
        <v>31</v>
      </c>
      <c r="AM499" s="828">
        <v>409</v>
      </c>
      <c r="AN499" s="828">
        <v>55.9</v>
      </c>
      <c r="AO499" s="834" t="s">
        <v>815</v>
      </c>
      <c r="AP499" s="834">
        <v>114</v>
      </c>
      <c r="AQ499" s="828">
        <v>53</v>
      </c>
      <c r="AR499" s="833">
        <v>40</v>
      </c>
      <c r="AS499" s="833">
        <v>431</v>
      </c>
      <c r="AT499" s="828">
        <v>642</v>
      </c>
      <c r="AU499" s="834">
        <v>3.44</v>
      </c>
      <c r="AV499" s="835">
        <v>27.3</v>
      </c>
      <c r="AW499" s="828">
        <v>14500</v>
      </c>
      <c r="AX499" s="828">
        <v>27700</v>
      </c>
      <c r="AY499" s="828">
        <v>432</v>
      </c>
      <c r="AZ499" s="828">
        <v>45300</v>
      </c>
      <c r="BA499" s="828">
        <v>1050</v>
      </c>
      <c r="BB499" s="828">
        <v>4950</v>
      </c>
      <c r="BC499" s="828">
        <v>96.6</v>
      </c>
      <c r="BD499" s="828">
        <v>7870</v>
      </c>
      <c r="BE499" s="834">
        <v>0.66094513630493223</v>
      </c>
      <c r="BF499" s="835">
        <v>1010</v>
      </c>
      <c r="BG499" s="828">
        <v>185000</v>
      </c>
      <c r="BH499" s="828">
        <v>268000</v>
      </c>
      <c r="BI499" s="828">
        <v>107000</v>
      </c>
      <c r="BJ499" s="828">
        <v>931</v>
      </c>
      <c r="BK499" s="828">
        <v>7840</v>
      </c>
      <c r="BL499" s="841">
        <v>22500</v>
      </c>
    </row>
    <row r="500" spans="3:64" ht="14.5" customHeight="1" x14ac:dyDescent="0.35">
      <c r="C500" s="104"/>
      <c r="D500" s="104"/>
      <c r="E500" s="104"/>
      <c r="N500" s="2"/>
      <c r="S500" s="8"/>
      <c r="T500" s="8"/>
      <c r="U500" s="8"/>
      <c r="AI500" s="826" t="s">
        <v>816</v>
      </c>
      <c r="AJ500" s="827">
        <v>70700</v>
      </c>
      <c r="AK500" s="828">
        <v>1032</v>
      </c>
      <c r="AL500" s="828">
        <v>29.5</v>
      </c>
      <c r="AM500" s="828">
        <v>408</v>
      </c>
      <c r="AN500" s="828">
        <v>52.1</v>
      </c>
      <c r="AO500" s="834" t="s">
        <v>817</v>
      </c>
      <c r="AP500" s="834">
        <v>102</v>
      </c>
      <c r="AQ500" s="839">
        <v>50</v>
      </c>
      <c r="AR500" s="833">
        <v>40</v>
      </c>
      <c r="AS500" s="833">
        <v>397</v>
      </c>
      <c r="AT500" s="828">
        <v>591</v>
      </c>
      <c r="AU500" s="834">
        <v>3.66</v>
      </c>
      <c r="AV500" s="835">
        <v>29.9</v>
      </c>
      <c r="AW500" s="828">
        <v>13300</v>
      </c>
      <c r="AX500" s="828">
        <v>25600</v>
      </c>
      <c r="AY500" s="828">
        <v>426</v>
      </c>
      <c r="AZ500" s="828">
        <v>37900</v>
      </c>
      <c r="BA500" s="828">
        <v>852</v>
      </c>
      <c r="BB500" s="828">
        <v>4090</v>
      </c>
      <c r="BC500" s="828">
        <v>94.5</v>
      </c>
      <c r="BD500" s="828">
        <v>6470</v>
      </c>
      <c r="BE500" s="834">
        <v>0.64306101761921663</v>
      </c>
      <c r="BF500" s="835">
        <v>997.9</v>
      </c>
      <c r="BG500" s="828">
        <v>116000</v>
      </c>
      <c r="BH500" s="828">
        <v>212000</v>
      </c>
      <c r="BI500" s="828">
        <v>104000</v>
      </c>
      <c r="BJ500" s="828">
        <v>760</v>
      </c>
      <c r="BK500" s="828">
        <v>6610</v>
      </c>
      <c r="BL500" s="841">
        <v>18800</v>
      </c>
    </row>
    <row r="501" spans="3:64" ht="14.5" customHeight="1" x14ac:dyDescent="0.35">
      <c r="C501" s="104"/>
      <c r="D501" s="104"/>
      <c r="E501" s="104"/>
      <c r="N501" s="2"/>
      <c r="S501" s="8"/>
      <c r="T501" s="8"/>
      <c r="U501" s="8"/>
      <c r="AI501" s="826" t="s">
        <v>818</v>
      </c>
      <c r="AJ501" s="827">
        <v>68700</v>
      </c>
      <c r="AK501" s="828">
        <v>1030</v>
      </c>
      <c r="AL501" s="828">
        <v>28.4</v>
      </c>
      <c r="AM501" s="828">
        <v>407</v>
      </c>
      <c r="AN501" s="828">
        <v>51.1</v>
      </c>
      <c r="AO501" s="834" t="s">
        <v>819</v>
      </c>
      <c r="AP501" s="834">
        <v>91</v>
      </c>
      <c r="AQ501" s="828">
        <v>47</v>
      </c>
      <c r="AR501" s="833">
        <v>40</v>
      </c>
      <c r="AS501" s="833">
        <v>372</v>
      </c>
      <c r="AT501" s="828">
        <v>554</v>
      </c>
      <c r="AU501" s="834">
        <v>3.92</v>
      </c>
      <c r="AV501" s="835">
        <v>31.5</v>
      </c>
      <c r="AW501" s="828">
        <v>12300</v>
      </c>
      <c r="AX501" s="828">
        <v>23900</v>
      </c>
      <c r="AY501" s="828">
        <v>421</v>
      </c>
      <c r="AZ501" s="828">
        <v>32100</v>
      </c>
      <c r="BA501" s="828">
        <v>702</v>
      </c>
      <c r="BB501" s="828">
        <v>3410</v>
      </c>
      <c r="BC501" s="828">
        <v>92.7</v>
      </c>
      <c r="BD501" s="828">
        <v>5370</v>
      </c>
      <c r="BE501" s="834">
        <v>0.62891712594908267</v>
      </c>
      <c r="BF501" s="835">
        <v>988.1</v>
      </c>
      <c r="BG501" s="828">
        <v>73500</v>
      </c>
      <c r="BH501" s="828">
        <v>171000</v>
      </c>
      <c r="BI501" s="828">
        <v>102000</v>
      </c>
      <c r="BJ501" s="828">
        <v>628</v>
      </c>
      <c r="BK501" s="828">
        <v>5590</v>
      </c>
      <c r="BL501" s="841">
        <v>15900</v>
      </c>
    </row>
    <row r="502" spans="3:64" ht="14.5" customHeight="1" x14ac:dyDescent="0.35">
      <c r="C502" s="104" t="s">
        <v>820</v>
      </c>
      <c r="D502" s="104"/>
      <c r="E502" s="104"/>
      <c r="I502" s="3" t="s">
        <v>509</v>
      </c>
      <c r="J502" s="3" t="s">
        <v>422</v>
      </c>
      <c r="K502" s="875">
        <v>1.8200000000000001E-2</v>
      </c>
      <c r="L502" s="2" t="s">
        <v>821</v>
      </c>
      <c r="M502" s="947"/>
      <c r="N502" s="2"/>
      <c r="S502" s="8"/>
      <c r="T502" s="8"/>
      <c r="U502" s="8"/>
      <c r="AI502" s="826" t="s">
        <v>822</v>
      </c>
      <c r="AJ502" s="827">
        <v>61500</v>
      </c>
      <c r="AK502" s="828">
        <v>1020</v>
      </c>
      <c r="AL502" s="828">
        <v>25.4</v>
      </c>
      <c r="AM502" s="828">
        <v>404</v>
      </c>
      <c r="AN502" s="828">
        <v>46</v>
      </c>
      <c r="AO502" s="834" t="s">
        <v>823</v>
      </c>
      <c r="AP502" s="834">
        <v>87</v>
      </c>
      <c r="AQ502" s="828">
        <v>46</v>
      </c>
      <c r="AR502" s="833">
        <v>40</v>
      </c>
      <c r="AS502" s="833">
        <v>362</v>
      </c>
      <c r="AT502" s="828">
        <v>539</v>
      </c>
      <c r="AU502" s="834">
        <v>3.98</v>
      </c>
      <c r="AV502" s="835">
        <v>32.700000000000003</v>
      </c>
      <c r="AW502" s="828">
        <v>12000</v>
      </c>
      <c r="AX502" s="828">
        <v>23400</v>
      </c>
      <c r="AY502" s="828">
        <v>421</v>
      </c>
      <c r="AZ502" s="828">
        <v>29500</v>
      </c>
      <c r="BA502" s="828">
        <v>640</v>
      </c>
      <c r="BB502" s="828">
        <v>3130</v>
      </c>
      <c r="BC502" s="828">
        <v>92.2</v>
      </c>
      <c r="BD502" s="828">
        <v>4920</v>
      </c>
      <c r="BE502" s="834">
        <v>0.62374623240316884</v>
      </c>
      <c r="BF502" s="835">
        <v>984.1</v>
      </c>
      <c r="BG502" s="828">
        <v>59000</v>
      </c>
      <c r="BH502" s="828">
        <v>155000</v>
      </c>
      <c r="BI502" s="828">
        <v>101000</v>
      </c>
      <c r="BJ502" s="828">
        <v>575</v>
      </c>
      <c r="BK502" s="828">
        <v>5200</v>
      </c>
      <c r="BL502" s="841">
        <v>14600</v>
      </c>
    </row>
    <row r="503" spans="3:64" ht="14.5" customHeight="1" x14ac:dyDescent="0.35">
      <c r="C503" s="104" t="s">
        <v>824</v>
      </c>
      <c r="D503" s="104"/>
      <c r="E503" s="104"/>
      <c r="N503" s="2"/>
      <c r="S503" s="8"/>
      <c r="T503" s="8"/>
      <c r="U503" s="8"/>
      <c r="AO503" s="834" t="s">
        <v>825</v>
      </c>
      <c r="AP503" s="834">
        <v>84</v>
      </c>
      <c r="AQ503" s="828">
        <v>45</v>
      </c>
      <c r="AR503" s="833">
        <v>40</v>
      </c>
      <c r="AS503" s="833">
        <v>324</v>
      </c>
      <c r="AT503" s="828">
        <v>483</v>
      </c>
      <c r="AU503" s="834">
        <v>4.3899999999999997</v>
      </c>
      <c r="AV503" s="835">
        <v>36.5</v>
      </c>
      <c r="AW503" s="828">
        <v>10700</v>
      </c>
      <c r="AX503" s="828">
        <v>20900</v>
      </c>
      <c r="AY503" s="828">
        <v>418</v>
      </c>
      <c r="AZ503" s="828">
        <v>27500</v>
      </c>
      <c r="BA503" s="828">
        <v>592</v>
      </c>
      <c r="BB503" s="828">
        <v>2900</v>
      </c>
      <c r="BC503" s="828">
        <v>91.5</v>
      </c>
      <c r="BD503" s="828">
        <v>4550</v>
      </c>
      <c r="BE503" s="834">
        <v>0.61937484379670105</v>
      </c>
      <c r="BF503" s="835">
        <v>979.9</v>
      </c>
      <c r="BG503" s="828">
        <v>48600</v>
      </c>
      <c r="BH503" s="828">
        <v>142000</v>
      </c>
      <c r="BI503" s="828">
        <v>99900</v>
      </c>
      <c r="BJ503" s="828">
        <v>531</v>
      </c>
      <c r="BK503" s="828">
        <v>4830</v>
      </c>
      <c r="BL503" s="841">
        <v>13600</v>
      </c>
    </row>
    <row r="504" spans="3:64" x14ac:dyDescent="0.3">
      <c r="AO504" s="906" t="s">
        <v>826</v>
      </c>
      <c r="AP504" s="906">
        <v>83</v>
      </c>
      <c r="AQ504" s="907">
        <v>44</v>
      </c>
      <c r="AR504" s="908">
        <v>40</v>
      </c>
      <c r="AY504" s="909">
        <v>418</v>
      </c>
      <c r="AZ504" s="909">
        <v>26800</v>
      </c>
      <c r="BA504" s="909">
        <v>576</v>
      </c>
      <c r="BB504" s="909">
        <v>2830</v>
      </c>
      <c r="BC504" s="909">
        <v>91.6</v>
      </c>
      <c r="BD504" s="909">
        <v>4440</v>
      </c>
      <c r="BE504" s="906">
        <v>0.61725904666300124</v>
      </c>
      <c r="BF504" s="910">
        <v>978.9</v>
      </c>
      <c r="BG504" s="909">
        <v>45300</v>
      </c>
      <c r="BH504" s="909">
        <v>138000</v>
      </c>
      <c r="BI504" s="909">
        <v>99600</v>
      </c>
      <c r="BJ504" s="909">
        <v>518</v>
      </c>
      <c r="BK504" s="909">
        <v>4730</v>
      </c>
      <c r="BL504" s="911">
        <v>13200</v>
      </c>
    </row>
    <row r="505" spans="3:64" x14ac:dyDescent="0.3">
      <c r="AI505" s="912" t="s">
        <v>827</v>
      </c>
      <c r="AJ505" s="913">
        <v>47300</v>
      </c>
      <c r="AK505" s="913">
        <v>1000</v>
      </c>
      <c r="AL505" s="913">
        <v>19</v>
      </c>
      <c r="AM505" s="913">
        <v>400</v>
      </c>
      <c r="AN505" s="913">
        <v>36.1</v>
      </c>
      <c r="AO505" s="914" t="s">
        <v>828</v>
      </c>
      <c r="AP505" s="914">
        <v>78</v>
      </c>
      <c r="AQ505" s="913">
        <v>43</v>
      </c>
      <c r="AR505" s="915">
        <v>40</v>
      </c>
      <c r="AY505" s="913">
        <v>417</v>
      </c>
      <c r="AZ505" s="913">
        <v>23900</v>
      </c>
      <c r="BA505" s="913">
        <v>507</v>
      </c>
      <c r="BB505" s="913">
        <v>2510</v>
      </c>
      <c r="BC505" s="913">
        <v>90.8</v>
      </c>
      <c r="BD505" s="913">
        <v>3920</v>
      </c>
      <c r="BE505" s="914">
        <v>0.6109056732645346</v>
      </c>
      <c r="BF505" s="916">
        <v>974</v>
      </c>
      <c r="BG505" s="913">
        <v>33100</v>
      </c>
      <c r="BH505" s="913">
        <v>120000</v>
      </c>
      <c r="BI505" s="913">
        <v>98400</v>
      </c>
      <c r="BJ505" s="913">
        <v>457</v>
      </c>
      <c r="BK505" s="913">
        <v>4240</v>
      </c>
      <c r="BL505" s="913">
        <v>11800</v>
      </c>
    </row>
    <row r="506" spans="3:64" x14ac:dyDescent="0.3">
      <c r="AI506" s="9" t="s">
        <v>829</v>
      </c>
      <c r="AJ506" s="10">
        <v>40900</v>
      </c>
      <c r="AK506" s="11">
        <v>990</v>
      </c>
      <c r="AL506" s="11">
        <v>16.5</v>
      </c>
      <c r="AM506" s="11">
        <v>400</v>
      </c>
      <c r="AN506" s="11">
        <v>31</v>
      </c>
      <c r="AS506" s="15">
        <v>249</v>
      </c>
      <c r="AT506" s="11">
        <v>371</v>
      </c>
      <c r="AU506" s="17">
        <v>5.54</v>
      </c>
      <c r="AV506" s="16">
        <v>48.8</v>
      </c>
      <c r="AW506" s="11">
        <v>8140</v>
      </c>
      <c r="AX506" s="11">
        <v>16300</v>
      </c>
    </row>
    <row r="507" spans="3:64" x14ac:dyDescent="0.3">
      <c r="AI507" s="763" t="s">
        <v>830</v>
      </c>
      <c r="AJ507" s="764">
        <v>37800</v>
      </c>
      <c r="AK507" s="765">
        <v>982</v>
      </c>
      <c r="AL507" s="765">
        <v>16.5</v>
      </c>
      <c r="AM507" s="765">
        <v>400</v>
      </c>
      <c r="AN507" s="765">
        <v>27.1</v>
      </c>
      <c r="AS507" s="766">
        <v>215</v>
      </c>
      <c r="AT507" s="765">
        <v>321</v>
      </c>
      <c r="AU507" s="767">
        <v>6.45</v>
      </c>
      <c r="AV507" s="768">
        <v>56.2</v>
      </c>
      <c r="AW507" s="765">
        <v>6960</v>
      </c>
      <c r="AX507" s="765">
        <v>14100</v>
      </c>
    </row>
    <row r="508" spans="3:64" x14ac:dyDescent="0.3">
      <c r="AI508" s="763" t="s">
        <v>831</v>
      </c>
      <c r="AJ508" s="764">
        <v>74500</v>
      </c>
      <c r="AK508" s="765">
        <v>1056</v>
      </c>
      <c r="AL508" s="765">
        <v>36.1</v>
      </c>
      <c r="AM508" s="765">
        <v>314</v>
      </c>
      <c r="AN508" s="765">
        <v>64</v>
      </c>
      <c r="AO508" s="767" t="s">
        <v>832</v>
      </c>
      <c r="AP508" s="767">
        <v>68</v>
      </c>
      <c r="AQ508" s="765">
        <v>40</v>
      </c>
      <c r="AR508" s="766">
        <v>40</v>
      </c>
      <c r="AS508" s="766">
        <v>199</v>
      </c>
      <c r="AT508" s="765">
        <v>296</v>
      </c>
      <c r="AU508" s="767">
        <v>7.38</v>
      </c>
      <c r="AV508" s="768">
        <v>56.2</v>
      </c>
      <c r="AW508" s="765">
        <v>6200</v>
      </c>
      <c r="AX508" s="765">
        <v>12600</v>
      </c>
      <c r="AY508" s="765">
        <v>415</v>
      </c>
      <c r="AZ508" s="765">
        <v>18400</v>
      </c>
      <c r="BA508" s="765">
        <v>386</v>
      </c>
      <c r="BB508" s="765">
        <v>1930</v>
      </c>
      <c r="BC508" s="765">
        <v>90.3</v>
      </c>
      <c r="BD508" s="765">
        <v>2980</v>
      </c>
      <c r="BE508" s="767">
        <v>0.60066181821992881</v>
      </c>
      <c r="BF508" s="768">
        <v>963.9</v>
      </c>
      <c r="BG508" s="765">
        <v>15900</v>
      </c>
      <c r="BH508" s="765">
        <v>89600</v>
      </c>
      <c r="BI508" s="765">
        <v>96400</v>
      </c>
      <c r="BJ508" s="765">
        <v>348</v>
      </c>
      <c r="BK508" s="765">
        <v>3310</v>
      </c>
      <c r="BL508" s="771">
        <v>9000</v>
      </c>
    </row>
    <row r="509" spans="3:64" x14ac:dyDescent="0.3">
      <c r="AI509" s="763" t="s">
        <v>833</v>
      </c>
      <c r="AJ509" s="764">
        <v>62900</v>
      </c>
      <c r="AK509" s="765">
        <v>1036</v>
      </c>
      <c r="AL509" s="765">
        <v>31</v>
      </c>
      <c r="AM509" s="765">
        <v>309</v>
      </c>
      <c r="AN509" s="765">
        <v>54</v>
      </c>
      <c r="AO509" s="767" t="s">
        <v>834</v>
      </c>
      <c r="AP509" s="767">
        <v>63</v>
      </c>
      <c r="AQ509" s="765">
        <v>38</v>
      </c>
      <c r="AR509" s="766">
        <v>40</v>
      </c>
      <c r="AS509" s="766">
        <v>392</v>
      </c>
      <c r="AT509" s="765">
        <v>584</v>
      </c>
      <c r="AU509" s="767">
        <v>2.4500000000000002</v>
      </c>
      <c r="AV509" s="768">
        <v>25.7</v>
      </c>
      <c r="AW509" s="765">
        <v>12500</v>
      </c>
      <c r="AX509" s="765">
        <v>23600</v>
      </c>
      <c r="AY509" s="765">
        <v>413</v>
      </c>
      <c r="AZ509" s="765">
        <v>15800</v>
      </c>
      <c r="BA509" s="765">
        <v>331</v>
      </c>
      <c r="BB509" s="765">
        <v>1660</v>
      </c>
      <c r="BC509" s="765">
        <v>90</v>
      </c>
      <c r="BD509" s="765">
        <v>2550</v>
      </c>
      <c r="BE509" s="767">
        <v>0.59661422819971632</v>
      </c>
      <c r="BF509" s="768">
        <v>959</v>
      </c>
      <c r="BG509" s="765">
        <v>10300</v>
      </c>
      <c r="BH509" s="765">
        <v>76100</v>
      </c>
      <c r="BI509" s="765">
        <v>95900</v>
      </c>
      <c r="BJ509" s="765">
        <v>297</v>
      </c>
      <c r="BK509" s="765">
        <v>2850</v>
      </c>
      <c r="BL509" s="771">
        <v>7720</v>
      </c>
    </row>
    <row r="510" spans="3:64" x14ac:dyDescent="0.3">
      <c r="AI510" s="763" t="s">
        <v>835</v>
      </c>
      <c r="AJ510" s="764">
        <v>61900</v>
      </c>
      <c r="AK510" s="765">
        <v>1036</v>
      </c>
      <c r="AL510" s="765">
        <v>30</v>
      </c>
      <c r="AM510" s="765">
        <v>308</v>
      </c>
      <c r="AN510" s="765">
        <v>54.1</v>
      </c>
      <c r="AO510" s="767" t="s">
        <v>836</v>
      </c>
      <c r="AP510" s="767">
        <v>59</v>
      </c>
      <c r="AQ510" s="769">
        <v>38</v>
      </c>
      <c r="AR510" s="766">
        <v>40</v>
      </c>
      <c r="AS510" s="766">
        <v>331</v>
      </c>
      <c r="AT510" s="765">
        <v>494</v>
      </c>
      <c r="AU510" s="767">
        <v>2.86</v>
      </c>
      <c r="AV510" s="768">
        <v>29.9</v>
      </c>
      <c r="AW510" s="765">
        <v>10300</v>
      </c>
      <c r="AX510" s="765">
        <v>19800</v>
      </c>
      <c r="AY510" s="765">
        <v>405</v>
      </c>
      <c r="AZ510" s="765">
        <v>14300</v>
      </c>
      <c r="BA510" s="765">
        <v>290</v>
      </c>
      <c r="BB510" s="765">
        <v>1450</v>
      </c>
      <c r="BC510" s="765">
        <v>87.6</v>
      </c>
      <c r="BD510" s="765">
        <v>2240</v>
      </c>
      <c r="BE510" s="767">
        <v>0.58925084067967526</v>
      </c>
      <c r="BF510" s="768">
        <v>954.9</v>
      </c>
      <c r="BG510" s="765">
        <v>7640</v>
      </c>
      <c r="BH510" s="765">
        <v>66000</v>
      </c>
      <c r="BI510" s="765">
        <v>95500</v>
      </c>
      <c r="BJ510" s="765">
        <v>259</v>
      </c>
      <c r="BK510" s="765">
        <v>2480</v>
      </c>
      <c r="BL510" s="771">
        <v>6950</v>
      </c>
    </row>
    <row r="511" spans="3:64" x14ac:dyDescent="0.3">
      <c r="AI511" s="763" t="s">
        <v>837</v>
      </c>
      <c r="AJ511" s="764">
        <v>55600</v>
      </c>
      <c r="AK511" s="765">
        <v>1026</v>
      </c>
      <c r="AL511" s="765">
        <v>26.9</v>
      </c>
      <c r="AM511" s="765">
        <v>305</v>
      </c>
      <c r="AN511" s="765">
        <v>49</v>
      </c>
      <c r="AO511" s="767" t="s">
        <v>838</v>
      </c>
      <c r="AP511" s="767">
        <v>96</v>
      </c>
      <c r="AQ511" s="769">
        <v>48</v>
      </c>
      <c r="AR511" s="766">
        <v>40</v>
      </c>
      <c r="AS511" s="766">
        <v>327</v>
      </c>
      <c r="AT511" s="765">
        <v>486</v>
      </c>
      <c r="AU511" s="767">
        <v>2.85</v>
      </c>
      <c r="AV511" s="768">
        <v>30.9</v>
      </c>
      <c r="AW511" s="765">
        <v>10200</v>
      </c>
      <c r="AX511" s="765">
        <v>19700</v>
      </c>
      <c r="AY511" s="765">
        <v>409</v>
      </c>
      <c r="AZ511" s="765">
        <v>28100</v>
      </c>
      <c r="BA511" s="765">
        <v>334</v>
      </c>
      <c r="BB511" s="765">
        <v>2130</v>
      </c>
      <c r="BC511" s="765">
        <v>67</v>
      </c>
      <c r="BD511" s="765">
        <v>3480</v>
      </c>
      <c r="BE511" s="767">
        <v>0.47133595894886099</v>
      </c>
      <c r="BF511" s="768">
        <v>992</v>
      </c>
      <c r="BG511" s="765">
        <v>71700</v>
      </c>
      <c r="BH511" s="765">
        <v>82300</v>
      </c>
      <c r="BI511" s="765">
        <v>77900</v>
      </c>
      <c r="BJ511" s="765">
        <v>391</v>
      </c>
      <c r="BK511" s="765">
        <v>4410</v>
      </c>
      <c r="BL511" s="771">
        <v>13900</v>
      </c>
    </row>
    <row r="512" spans="3:64" x14ac:dyDescent="0.3">
      <c r="AI512" s="763" t="s">
        <v>839</v>
      </c>
      <c r="AJ512" s="764">
        <v>52800</v>
      </c>
      <c r="AK512" s="765">
        <v>1020</v>
      </c>
      <c r="AL512" s="765">
        <v>25.9</v>
      </c>
      <c r="AM512" s="765">
        <v>304</v>
      </c>
      <c r="AN512" s="765">
        <v>46</v>
      </c>
      <c r="AO512" s="767" t="s">
        <v>840</v>
      </c>
      <c r="AP512" s="767">
        <v>86</v>
      </c>
      <c r="AQ512" s="769">
        <v>46</v>
      </c>
      <c r="AR512" s="766">
        <v>40</v>
      </c>
      <c r="AS512" s="766">
        <v>294</v>
      </c>
      <c r="AT512" s="765">
        <v>438</v>
      </c>
      <c r="AU512" s="767">
        <v>3.11</v>
      </c>
      <c r="AV512" s="768">
        <v>34.5</v>
      </c>
      <c r="AW512" s="765">
        <v>9090</v>
      </c>
      <c r="AX512" s="765">
        <v>17700</v>
      </c>
      <c r="AY512" s="765">
        <v>404</v>
      </c>
      <c r="AZ512" s="765">
        <v>23400</v>
      </c>
      <c r="BA512" s="765">
        <v>268</v>
      </c>
      <c r="BB512" s="765">
        <v>1740</v>
      </c>
      <c r="BC512" s="765">
        <v>65.3</v>
      </c>
      <c r="BD512" s="765">
        <v>2820</v>
      </c>
      <c r="BE512" s="767">
        <v>0.45859273834065062</v>
      </c>
      <c r="BF512" s="768">
        <v>982</v>
      </c>
      <c r="BG512" s="765">
        <v>44000</v>
      </c>
      <c r="BH512" s="765">
        <v>64700</v>
      </c>
      <c r="BI512" s="765">
        <v>75900</v>
      </c>
      <c r="BJ512" s="765">
        <v>316</v>
      </c>
      <c r="BK512" s="765">
        <v>3690</v>
      </c>
      <c r="BL512" s="771">
        <v>11500</v>
      </c>
    </row>
    <row r="513" spans="1:64" ht="13.5" customHeight="1" thickBot="1" x14ac:dyDescent="0.35">
      <c r="A513" s="842"/>
      <c r="B513" s="842"/>
      <c r="C513" s="842"/>
      <c r="D513" s="842"/>
      <c r="E513" s="842"/>
      <c r="F513" s="842"/>
      <c r="G513" s="842"/>
      <c r="H513" s="842"/>
      <c r="I513" s="842"/>
      <c r="J513" s="842"/>
      <c r="K513" s="842"/>
      <c r="L513" s="842"/>
      <c r="M513" s="842"/>
      <c r="N513" s="843"/>
      <c r="O513" s="842"/>
      <c r="P513" s="842"/>
      <c r="Q513" s="842"/>
      <c r="R513" s="842"/>
      <c r="AI513" s="763" t="s">
        <v>841</v>
      </c>
      <c r="AJ513" s="764">
        <v>50000</v>
      </c>
      <c r="AK513" s="765">
        <v>1016</v>
      </c>
      <c r="AL513" s="765">
        <v>24.4</v>
      </c>
      <c r="AM513" s="765">
        <v>303</v>
      </c>
      <c r="AN513" s="765">
        <v>43.9</v>
      </c>
      <c r="AO513" s="767" t="s">
        <v>842</v>
      </c>
      <c r="AP513" s="767">
        <v>86</v>
      </c>
      <c r="AQ513" s="769">
        <v>45</v>
      </c>
      <c r="AR513" s="766">
        <v>40</v>
      </c>
      <c r="AS513" s="766">
        <v>278</v>
      </c>
      <c r="AT513" s="765">
        <v>415</v>
      </c>
      <c r="AU513" s="767">
        <v>3.3</v>
      </c>
      <c r="AV513" s="768">
        <v>35.799999999999997</v>
      </c>
      <c r="AW513" s="765">
        <v>8520</v>
      </c>
      <c r="AX513" s="765">
        <v>16700</v>
      </c>
      <c r="AY513" s="765">
        <v>406</v>
      </c>
      <c r="AZ513" s="765">
        <v>23200</v>
      </c>
      <c r="BA513" s="765">
        <v>266</v>
      </c>
      <c r="BB513" s="765">
        <v>1730</v>
      </c>
      <c r="BC513" s="765">
        <v>65.5</v>
      </c>
      <c r="BD513" s="765">
        <v>2790</v>
      </c>
      <c r="BE513" s="767">
        <v>0.45782742396760928</v>
      </c>
      <c r="BF513" s="768">
        <v>981.9</v>
      </c>
      <c r="BG513" s="765">
        <v>42900</v>
      </c>
      <c r="BH513" s="765">
        <v>64100</v>
      </c>
      <c r="BI513" s="765">
        <v>75600</v>
      </c>
      <c r="BJ513" s="765">
        <v>315</v>
      </c>
      <c r="BK513" s="765">
        <v>3690</v>
      </c>
      <c r="BL513" s="771">
        <v>11400</v>
      </c>
    </row>
    <row r="514" spans="1:64" ht="13.5" customHeight="1" thickTop="1" x14ac:dyDescent="0.3">
      <c r="AI514" s="763" t="s">
        <v>843</v>
      </c>
      <c r="AJ514" s="764">
        <v>44500</v>
      </c>
      <c r="AK514" s="765">
        <v>1008</v>
      </c>
      <c r="AL514" s="765">
        <v>21.1</v>
      </c>
      <c r="AM514" s="765">
        <v>302</v>
      </c>
      <c r="AN514" s="765">
        <v>40</v>
      </c>
      <c r="AO514" s="767" t="s">
        <v>844</v>
      </c>
      <c r="AP514" s="767">
        <v>81</v>
      </c>
      <c r="AQ514" s="769">
        <v>43</v>
      </c>
      <c r="AR514" s="766">
        <v>40</v>
      </c>
      <c r="AS514" s="766">
        <v>264</v>
      </c>
      <c r="AT514" s="765">
        <v>393</v>
      </c>
      <c r="AU514" s="767">
        <v>3.45</v>
      </c>
      <c r="AV514" s="768">
        <v>38</v>
      </c>
      <c r="AW514" s="765">
        <v>8080</v>
      </c>
      <c r="AX514" s="765">
        <v>15900</v>
      </c>
      <c r="AY514" s="765">
        <v>404</v>
      </c>
      <c r="AZ514" s="765">
        <v>20700</v>
      </c>
      <c r="BA514" s="765">
        <v>234</v>
      </c>
      <c r="BB514" s="765">
        <v>1530</v>
      </c>
      <c r="BC514" s="765">
        <v>64.8</v>
      </c>
      <c r="BD514" s="765">
        <v>2460</v>
      </c>
      <c r="BE514" s="767">
        <v>0.45162828131668042</v>
      </c>
      <c r="BF514" s="768">
        <v>977</v>
      </c>
      <c r="BG514" s="765">
        <v>31800</v>
      </c>
      <c r="BH514" s="765">
        <v>55700</v>
      </c>
      <c r="BI514" s="765">
        <v>74500</v>
      </c>
      <c r="BJ514" s="765">
        <v>278</v>
      </c>
      <c r="BK514" s="765">
        <v>3330</v>
      </c>
      <c r="BL514" s="771">
        <v>10200</v>
      </c>
    </row>
    <row r="515" spans="1:64" x14ac:dyDescent="0.3">
      <c r="AI515" s="763" t="s">
        <v>845</v>
      </c>
      <c r="AJ515" s="764">
        <v>40000</v>
      </c>
      <c r="AK515" s="765">
        <v>1000</v>
      </c>
      <c r="AL515" s="765">
        <v>19.100000000000001</v>
      </c>
      <c r="AM515" s="765">
        <v>300</v>
      </c>
      <c r="AN515" s="765">
        <v>35.9</v>
      </c>
      <c r="AO515" s="767" t="s">
        <v>846</v>
      </c>
      <c r="AP515" s="767">
        <v>78</v>
      </c>
      <c r="AQ515" s="769">
        <v>43</v>
      </c>
      <c r="AR515" s="766">
        <v>40</v>
      </c>
      <c r="AS515" s="766">
        <v>235</v>
      </c>
      <c r="AT515" s="765">
        <v>350</v>
      </c>
      <c r="AU515" s="767">
        <v>3.78</v>
      </c>
      <c r="AV515" s="768">
        <v>44</v>
      </c>
      <c r="AW515" s="765">
        <v>7230</v>
      </c>
      <c r="AX515" s="765">
        <v>14300</v>
      </c>
      <c r="AY515" s="765">
        <v>402</v>
      </c>
      <c r="AZ515" s="765">
        <v>19500</v>
      </c>
      <c r="BA515" s="765">
        <v>217</v>
      </c>
      <c r="BB515" s="765">
        <v>1430</v>
      </c>
      <c r="BC515" s="765">
        <v>64.099999999999994</v>
      </c>
      <c r="BD515" s="765">
        <v>2300</v>
      </c>
      <c r="BE515" s="767">
        <v>0.44741290354735702</v>
      </c>
      <c r="BF515" s="768">
        <v>974</v>
      </c>
      <c r="BG515" s="765">
        <v>27000</v>
      </c>
      <c r="BH515" s="765">
        <v>51500</v>
      </c>
      <c r="BI515" s="765">
        <v>74000</v>
      </c>
      <c r="BJ515" s="765">
        <v>259</v>
      </c>
      <c r="BK515" s="765">
        <v>3110</v>
      </c>
      <c r="BL515" s="771">
        <v>9600</v>
      </c>
    </row>
    <row r="516" spans="1:64" x14ac:dyDescent="0.3">
      <c r="AI516" s="763" t="s">
        <v>847</v>
      </c>
      <c r="AJ516" s="764">
        <v>34700</v>
      </c>
      <c r="AK516" s="765">
        <v>990</v>
      </c>
      <c r="AL516" s="765">
        <v>16.5</v>
      </c>
      <c r="AM516" s="765">
        <v>300</v>
      </c>
      <c r="AN516" s="765">
        <v>31</v>
      </c>
      <c r="AO516" s="767" t="s">
        <v>848</v>
      </c>
      <c r="AP516" s="767">
        <v>75</v>
      </c>
      <c r="AQ516" s="765">
        <v>42</v>
      </c>
      <c r="AR516" s="766">
        <v>40</v>
      </c>
      <c r="AS516" s="766">
        <v>211</v>
      </c>
      <c r="AT516" s="765">
        <v>314</v>
      </c>
      <c r="AU516" s="767">
        <v>4.18</v>
      </c>
      <c r="AV516" s="768">
        <v>48.6</v>
      </c>
      <c r="AW516" s="765">
        <v>6440</v>
      </c>
      <c r="AX516" s="765">
        <v>12900</v>
      </c>
      <c r="AY516" s="765">
        <v>402</v>
      </c>
      <c r="AZ516" s="765">
        <v>18500</v>
      </c>
      <c r="BA516" s="765">
        <v>205</v>
      </c>
      <c r="BB516" s="765">
        <v>1350</v>
      </c>
      <c r="BC516" s="765">
        <v>64</v>
      </c>
      <c r="BD516" s="765">
        <v>2170</v>
      </c>
      <c r="BE516" s="767">
        <v>0.44509349126881359</v>
      </c>
      <c r="BF516" s="768">
        <v>972.1</v>
      </c>
      <c r="BG516" s="765">
        <v>23300</v>
      </c>
      <c r="BH516" s="765">
        <v>48400</v>
      </c>
      <c r="BI516" s="765">
        <v>73600</v>
      </c>
      <c r="BJ516" s="765">
        <v>245</v>
      </c>
      <c r="BK516" s="765">
        <v>2970</v>
      </c>
      <c r="BL516" s="771">
        <v>9090</v>
      </c>
    </row>
    <row r="517" spans="1:64" x14ac:dyDescent="0.3">
      <c r="AI517" s="763" t="s">
        <v>849</v>
      </c>
      <c r="AJ517" s="764">
        <v>31700</v>
      </c>
      <c r="AK517" s="765">
        <v>980</v>
      </c>
      <c r="AL517" s="765">
        <v>16.5</v>
      </c>
      <c r="AM517" s="765">
        <v>300</v>
      </c>
      <c r="AN517" s="765">
        <v>26</v>
      </c>
      <c r="AO517" s="767" t="s">
        <v>850</v>
      </c>
      <c r="AP517" s="767">
        <v>72</v>
      </c>
      <c r="AQ517" s="765">
        <v>41</v>
      </c>
      <c r="AR517" s="766">
        <v>40</v>
      </c>
      <c r="AS517" s="766">
        <v>183</v>
      </c>
      <c r="AT517" s="765">
        <v>272</v>
      </c>
      <c r="AU517" s="767">
        <v>4.84</v>
      </c>
      <c r="AV517" s="768">
        <v>56.2</v>
      </c>
      <c r="AW517" s="765">
        <v>5540</v>
      </c>
      <c r="AX517" s="765">
        <v>11200</v>
      </c>
      <c r="AY517" s="765">
        <v>403</v>
      </c>
      <c r="AZ517" s="765">
        <v>16600</v>
      </c>
      <c r="BA517" s="765">
        <v>185</v>
      </c>
      <c r="BB517" s="765">
        <v>1220</v>
      </c>
      <c r="BC517" s="765">
        <v>64.400000000000006</v>
      </c>
      <c r="BD517" s="765">
        <v>1940</v>
      </c>
      <c r="BE517" s="767">
        <v>0.44462701878755839</v>
      </c>
      <c r="BF517" s="768">
        <v>968</v>
      </c>
      <c r="BG517" s="765">
        <v>17200</v>
      </c>
      <c r="BH517" s="765">
        <v>43200</v>
      </c>
      <c r="BI517" s="765">
        <v>73100</v>
      </c>
      <c r="BJ517" s="765">
        <v>221</v>
      </c>
      <c r="BK517" s="765">
        <v>2720</v>
      </c>
      <c r="BL517" s="771">
        <v>8120</v>
      </c>
    </row>
    <row r="518" spans="1:64" x14ac:dyDescent="0.3">
      <c r="AI518" s="763" t="s">
        <v>851</v>
      </c>
      <c r="AJ518" s="764">
        <v>28300</v>
      </c>
      <c r="AK518" s="765">
        <v>970</v>
      </c>
      <c r="AL518" s="765">
        <v>16</v>
      </c>
      <c r="AM518" s="765">
        <v>300</v>
      </c>
      <c r="AN518" s="765">
        <v>21.1</v>
      </c>
      <c r="AO518" s="767" t="s">
        <v>852</v>
      </c>
      <c r="AP518" s="767">
        <v>67</v>
      </c>
      <c r="AQ518" s="769">
        <v>40</v>
      </c>
      <c r="AR518" s="766">
        <v>40</v>
      </c>
      <c r="AS518" s="766">
        <v>167</v>
      </c>
      <c r="AT518" s="765">
        <v>249</v>
      </c>
      <c r="AU518" s="767">
        <v>5.77</v>
      </c>
      <c r="AV518" s="768">
        <v>56.2</v>
      </c>
      <c r="AW518" s="765">
        <v>4810</v>
      </c>
      <c r="AX518" s="765">
        <v>9820</v>
      </c>
      <c r="AY518" s="765">
        <v>401</v>
      </c>
      <c r="AZ518" s="765">
        <v>14900</v>
      </c>
      <c r="BA518" s="765">
        <v>162</v>
      </c>
      <c r="BB518" s="765">
        <v>1080</v>
      </c>
      <c r="BC518" s="765">
        <v>63.7</v>
      </c>
      <c r="BD518" s="765">
        <v>1710</v>
      </c>
      <c r="BE518" s="767">
        <v>0.43769263216053611</v>
      </c>
      <c r="BF518" s="768">
        <v>964.1</v>
      </c>
      <c r="BG518" s="765">
        <v>12600</v>
      </c>
      <c r="BH518" s="765">
        <v>37700</v>
      </c>
      <c r="BI518" s="765">
        <v>72300</v>
      </c>
      <c r="BJ518" s="765">
        <v>195</v>
      </c>
      <c r="BK518" s="765">
        <v>2430</v>
      </c>
      <c r="BL518" s="771">
        <v>7250</v>
      </c>
    </row>
    <row r="519" spans="1:64" x14ac:dyDescent="0.3">
      <c r="AI519" s="763" t="s">
        <v>853</v>
      </c>
      <c r="AJ519" s="764">
        <v>152000</v>
      </c>
      <c r="AK519" s="765">
        <v>1081</v>
      </c>
      <c r="AL519" s="765">
        <v>60.5</v>
      </c>
      <c r="AM519" s="765">
        <v>457</v>
      </c>
      <c r="AN519" s="765">
        <v>109</v>
      </c>
      <c r="AO519" s="767" t="s">
        <v>854</v>
      </c>
      <c r="AP519" s="767">
        <v>63</v>
      </c>
      <c r="AQ519" s="765">
        <v>38</v>
      </c>
      <c r="AR519" s="766">
        <v>40</v>
      </c>
      <c r="AS519" s="766">
        <v>149</v>
      </c>
      <c r="AT519" s="765">
        <v>222</v>
      </c>
      <c r="AU519" s="767">
        <v>7.11</v>
      </c>
      <c r="AV519" s="768">
        <v>58</v>
      </c>
      <c r="AW519" s="765">
        <v>4080</v>
      </c>
      <c r="AX519" s="765">
        <v>8410</v>
      </c>
      <c r="AY519" s="765">
        <v>400</v>
      </c>
      <c r="AZ519" s="765">
        <v>12800</v>
      </c>
      <c r="BA519" s="765">
        <v>140</v>
      </c>
      <c r="BB519" s="765">
        <v>933</v>
      </c>
      <c r="BC519" s="765">
        <v>63.5</v>
      </c>
      <c r="BD519" s="765">
        <v>1470</v>
      </c>
      <c r="BE519" s="767">
        <v>0.43539853709135118</v>
      </c>
      <c r="BF519" s="768">
        <v>959</v>
      </c>
      <c r="BG519" s="765">
        <v>8350</v>
      </c>
      <c r="BH519" s="765">
        <v>32200</v>
      </c>
      <c r="BI519" s="765">
        <v>71900</v>
      </c>
      <c r="BJ519" s="765">
        <v>167</v>
      </c>
      <c r="BK519" s="765">
        <v>2110</v>
      </c>
      <c r="BL519" s="771">
        <v>6240</v>
      </c>
    </row>
    <row r="520" spans="1:64" x14ac:dyDescent="0.3">
      <c r="AI520" s="763" t="s">
        <v>855</v>
      </c>
      <c r="AJ520" s="764">
        <v>124000</v>
      </c>
      <c r="AK520" s="765">
        <v>1043</v>
      </c>
      <c r="AL520" s="765">
        <v>50</v>
      </c>
      <c r="AM520" s="765">
        <v>446</v>
      </c>
      <c r="AN520" s="765">
        <v>89.9</v>
      </c>
      <c r="AO520" s="767" t="s">
        <v>856</v>
      </c>
      <c r="AP520" s="767">
        <v>58</v>
      </c>
      <c r="AQ520" s="765">
        <v>38</v>
      </c>
      <c r="AR520" s="766">
        <v>40</v>
      </c>
      <c r="AS520" s="766">
        <v>800</v>
      </c>
      <c r="AT520" s="765">
        <v>1191</v>
      </c>
      <c r="AU520" s="767">
        <v>2.1</v>
      </c>
      <c r="AV520" s="768">
        <v>14.3</v>
      </c>
      <c r="AW520" s="765">
        <v>27000</v>
      </c>
      <c r="AX520" s="765">
        <v>49900</v>
      </c>
      <c r="AY520" s="765">
        <v>390</v>
      </c>
      <c r="AZ520" s="765">
        <v>11300</v>
      </c>
      <c r="BA520" s="765">
        <v>118</v>
      </c>
      <c r="BB520" s="765">
        <v>783</v>
      </c>
      <c r="BC520" s="765">
        <v>60.9</v>
      </c>
      <c r="BD520" s="765">
        <v>1240</v>
      </c>
      <c r="BE520" s="767">
        <v>0.42515038165289681</v>
      </c>
      <c r="BF520" s="768">
        <v>954</v>
      </c>
      <c r="BG520" s="765">
        <v>5820</v>
      </c>
      <c r="BH520" s="765">
        <v>26700</v>
      </c>
      <c r="BI520" s="765">
        <v>71600</v>
      </c>
      <c r="BJ520" s="765">
        <v>140</v>
      </c>
      <c r="BK520" s="765">
        <v>1760</v>
      </c>
      <c r="BL520" s="771">
        <v>5500</v>
      </c>
    </row>
    <row r="521" spans="1:64" x14ac:dyDescent="0.3">
      <c r="AI521" s="763" t="s">
        <v>857</v>
      </c>
      <c r="AJ521" s="764">
        <v>100000</v>
      </c>
      <c r="AK521" s="765">
        <v>1011</v>
      </c>
      <c r="AL521" s="765">
        <v>40.9</v>
      </c>
      <c r="AM521" s="765">
        <v>437</v>
      </c>
      <c r="AN521" s="765">
        <v>73.900000000000006</v>
      </c>
      <c r="AO521" s="767" t="s">
        <v>858</v>
      </c>
      <c r="AP521" s="767">
        <v>53</v>
      </c>
      <c r="AQ521" s="769">
        <v>38</v>
      </c>
      <c r="AR521" s="766">
        <v>40</v>
      </c>
      <c r="AS521" s="766">
        <v>652</v>
      </c>
      <c r="AT521" s="765">
        <v>970</v>
      </c>
      <c r="AU521" s="767">
        <v>2.48</v>
      </c>
      <c r="AV521" s="768">
        <v>17.3</v>
      </c>
      <c r="AW521" s="765">
        <v>21000</v>
      </c>
      <c r="AX521" s="765">
        <v>40300</v>
      </c>
      <c r="AY521" s="765">
        <v>380</v>
      </c>
      <c r="AZ521" s="765">
        <v>9800</v>
      </c>
      <c r="BA521" s="765">
        <v>95.4</v>
      </c>
      <c r="BB521" s="765">
        <v>636</v>
      </c>
      <c r="BC521" s="765">
        <v>58.1</v>
      </c>
      <c r="BD521" s="765">
        <v>1020</v>
      </c>
      <c r="BE521" s="767">
        <v>0.41266602128320717</v>
      </c>
      <c r="BF521" s="768">
        <v>948.9</v>
      </c>
      <c r="BG521" s="765">
        <v>3900</v>
      </c>
      <c r="BH521" s="765">
        <v>21500</v>
      </c>
      <c r="BI521" s="765">
        <v>71200</v>
      </c>
      <c r="BJ521" s="765">
        <v>113</v>
      </c>
      <c r="BK521" s="765">
        <v>1420</v>
      </c>
      <c r="BL521" s="771">
        <v>4720</v>
      </c>
    </row>
    <row r="522" spans="1:64" x14ac:dyDescent="0.3">
      <c r="AI522" s="763" t="s">
        <v>859</v>
      </c>
      <c r="AJ522" s="764">
        <v>92500</v>
      </c>
      <c r="AK522" s="765">
        <v>999</v>
      </c>
      <c r="AL522" s="765">
        <v>38.1</v>
      </c>
      <c r="AM522" s="765">
        <v>434</v>
      </c>
      <c r="AN522" s="765">
        <v>68.099999999999994</v>
      </c>
      <c r="AO522" s="767" t="s">
        <v>860</v>
      </c>
      <c r="AP522" s="767">
        <v>141</v>
      </c>
      <c r="AQ522" s="769">
        <v>60</v>
      </c>
      <c r="AR522" s="770">
        <v>36</v>
      </c>
      <c r="AS522" s="766">
        <v>529</v>
      </c>
      <c r="AT522" s="765">
        <v>787</v>
      </c>
      <c r="AU522" s="767">
        <v>2.96</v>
      </c>
      <c r="AV522" s="768">
        <v>21.1</v>
      </c>
      <c r="AW522" s="765">
        <v>16500</v>
      </c>
      <c r="AX522" s="765">
        <v>32600</v>
      </c>
      <c r="AY522" s="765">
        <v>421</v>
      </c>
      <c r="AZ522" s="765">
        <v>59900</v>
      </c>
      <c r="BA522" s="765">
        <v>1750</v>
      </c>
      <c r="BB522" s="765">
        <v>7660</v>
      </c>
      <c r="BC522" s="765">
        <v>107</v>
      </c>
      <c r="BD522" s="765">
        <v>12200</v>
      </c>
      <c r="BE522" s="767">
        <v>0.73400117015327393</v>
      </c>
      <c r="BF522" s="768">
        <v>972</v>
      </c>
      <c r="BG522" s="765">
        <v>440000</v>
      </c>
      <c r="BH522" s="765">
        <v>413000</v>
      </c>
      <c r="BI522" s="765">
        <v>111000</v>
      </c>
      <c r="BJ522" s="765">
        <v>1380</v>
      </c>
      <c r="BK522" s="765">
        <v>10500</v>
      </c>
      <c r="BL522" s="771">
        <v>29800</v>
      </c>
    </row>
    <row r="523" spans="1:64" x14ac:dyDescent="0.3">
      <c r="AI523" s="763" t="s">
        <v>861</v>
      </c>
      <c r="AJ523" s="764">
        <v>83700</v>
      </c>
      <c r="AK523" s="765">
        <v>987</v>
      </c>
      <c r="AL523" s="765">
        <v>34.5</v>
      </c>
      <c r="AM523" s="765">
        <v>431</v>
      </c>
      <c r="AN523" s="765">
        <v>62</v>
      </c>
      <c r="AO523" s="767" t="s">
        <v>862</v>
      </c>
      <c r="AP523" s="767">
        <v>121</v>
      </c>
      <c r="AQ523" s="772">
        <v>55</v>
      </c>
      <c r="AR523" s="770">
        <v>36</v>
      </c>
      <c r="AS523" s="766">
        <v>487</v>
      </c>
      <c r="AT523" s="765">
        <v>725</v>
      </c>
      <c r="AU523" s="767">
        <v>3.19</v>
      </c>
      <c r="AV523" s="768">
        <v>22.6</v>
      </c>
      <c r="AW523" s="765">
        <v>15000</v>
      </c>
      <c r="AX523" s="765">
        <v>29900</v>
      </c>
      <c r="AY523" s="765">
        <v>412</v>
      </c>
      <c r="AZ523" s="765">
        <v>47700</v>
      </c>
      <c r="BA523" s="765">
        <v>1340</v>
      </c>
      <c r="BB523" s="765">
        <v>6000</v>
      </c>
      <c r="BC523" s="765">
        <v>104</v>
      </c>
      <c r="BD523" s="765">
        <v>9500</v>
      </c>
      <c r="BE523" s="767">
        <v>0.70768839258827976</v>
      </c>
      <c r="BF523" s="768">
        <v>953.1</v>
      </c>
      <c r="BG523" s="765">
        <v>246000</v>
      </c>
      <c r="BH523" s="765">
        <v>304000</v>
      </c>
      <c r="BI523" s="765">
        <v>106000</v>
      </c>
      <c r="BJ523" s="765">
        <v>1070</v>
      </c>
      <c r="BK523" s="765">
        <v>8480</v>
      </c>
      <c r="BL523" s="771">
        <v>23800</v>
      </c>
    </row>
    <row r="524" spans="1:64" x14ac:dyDescent="0.3">
      <c r="AI524" s="763" t="s">
        <v>863</v>
      </c>
      <c r="AJ524" s="764">
        <v>75000</v>
      </c>
      <c r="AK524" s="765">
        <v>976</v>
      </c>
      <c r="AL524" s="765">
        <v>31</v>
      </c>
      <c r="AM524" s="765">
        <v>427</v>
      </c>
      <c r="AN524" s="765">
        <v>55.9</v>
      </c>
      <c r="AO524" s="767" t="s">
        <v>864</v>
      </c>
      <c r="AP524" s="767">
        <v>105</v>
      </c>
      <c r="AQ524" s="765">
        <v>50</v>
      </c>
      <c r="AR524" s="770">
        <v>36</v>
      </c>
      <c r="AS524" s="766">
        <v>441</v>
      </c>
      <c r="AT524" s="765">
        <v>656</v>
      </c>
      <c r="AU524" s="767">
        <v>3.48</v>
      </c>
      <c r="AV524" s="768">
        <v>25</v>
      </c>
      <c r="AW524" s="765">
        <v>13400</v>
      </c>
      <c r="AX524" s="765">
        <v>27100</v>
      </c>
      <c r="AY524" s="765">
        <v>405</v>
      </c>
      <c r="AZ524" s="765">
        <v>38100</v>
      </c>
      <c r="BA524" s="765">
        <v>1030</v>
      </c>
      <c r="BB524" s="765">
        <v>4730</v>
      </c>
      <c r="BC524" s="765">
        <v>101</v>
      </c>
      <c r="BD524" s="765">
        <v>7430</v>
      </c>
      <c r="BE524" s="767">
        <v>0.68486815119381572</v>
      </c>
      <c r="BF524" s="768">
        <v>937.1</v>
      </c>
      <c r="BG524" s="765">
        <v>136000</v>
      </c>
      <c r="BH524" s="765">
        <v>227000</v>
      </c>
      <c r="BI524" s="765">
        <v>102000</v>
      </c>
      <c r="BJ524" s="765">
        <v>827</v>
      </c>
      <c r="BK524" s="765">
        <v>6860</v>
      </c>
      <c r="BL524" s="771">
        <v>18900</v>
      </c>
    </row>
    <row r="525" spans="1:64" x14ac:dyDescent="0.3">
      <c r="AI525" s="763" t="s">
        <v>865</v>
      </c>
      <c r="AJ525" s="764">
        <v>68400</v>
      </c>
      <c r="AK525" s="765">
        <v>965</v>
      </c>
      <c r="AL525" s="765">
        <v>28.4</v>
      </c>
      <c r="AM525" s="765">
        <v>425</v>
      </c>
      <c r="AN525" s="765">
        <v>51.1</v>
      </c>
      <c r="AO525" s="767" t="s">
        <v>866</v>
      </c>
      <c r="AP525" s="767">
        <v>100</v>
      </c>
      <c r="AQ525" s="769">
        <v>49</v>
      </c>
      <c r="AR525" s="770">
        <v>36</v>
      </c>
      <c r="AS525" s="766">
        <v>395</v>
      </c>
      <c r="AT525" s="765">
        <v>588</v>
      </c>
      <c r="AU525" s="767">
        <v>3.82</v>
      </c>
      <c r="AV525" s="768">
        <v>27.9</v>
      </c>
      <c r="AW525" s="765">
        <v>11900</v>
      </c>
      <c r="AX525" s="765">
        <v>24300</v>
      </c>
      <c r="AY525" s="765">
        <v>402</v>
      </c>
      <c r="AZ525" s="765">
        <v>34800</v>
      </c>
      <c r="BA525" s="765">
        <v>932</v>
      </c>
      <c r="BB525" s="765">
        <v>4300</v>
      </c>
      <c r="BC525" s="765">
        <v>100</v>
      </c>
      <c r="BD525" s="765">
        <v>6740</v>
      </c>
      <c r="BE525" s="767">
        <v>0.6774172107011649</v>
      </c>
      <c r="BF525" s="768">
        <v>930.9</v>
      </c>
      <c r="BG525" s="765">
        <v>107000</v>
      </c>
      <c r="BH525" s="765">
        <v>202000</v>
      </c>
      <c r="BI525" s="765">
        <v>101000</v>
      </c>
      <c r="BJ525" s="765">
        <v>746</v>
      </c>
      <c r="BK525" s="765">
        <v>6270</v>
      </c>
      <c r="BL525" s="771">
        <v>17300</v>
      </c>
    </row>
    <row r="526" spans="1:64" x14ac:dyDescent="0.3">
      <c r="AI526" s="763" t="s">
        <v>867</v>
      </c>
      <c r="AJ526" s="764">
        <v>62500</v>
      </c>
      <c r="AK526" s="765">
        <v>957</v>
      </c>
      <c r="AL526" s="765">
        <v>25.9</v>
      </c>
      <c r="AM526" s="765">
        <v>422</v>
      </c>
      <c r="AN526" s="765">
        <v>47</v>
      </c>
      <c r="AO526" s="767" t="s">
        <v>868</v>
      </c>
      <c r="AP526" s="767">
        <v>94</v>
      </c>
      <c r="AQ526" s="769">
        <v>47</v>
      </c>
      <c r="AR526" s="770">
        <v>36</v>
      </c>
      <c r="AS526" s="766">
        <v>361</v>
      </c>
      <c r="AT526" s="765">
        <v>537</v>
      </c>
      <c r="AU526" s="767">
        <v>4.16</v>
      </c>
      <c r="AV526" s="768">
        <v>30.4</v>
      </c>
      <c r="AW526" s="765">
        <v>10700</v>
      </c>
      <c r="AX526" s="765">
        <v>22200</v>
      </c>
      <c r="AY526" s="765">
        <v>400</v>
      </c>
      <c r="AZ526" s="765">
        <v>31400</v>
      </c>
      <c r="BA526" s="765">
        <v>831</v>
      </c>
      <c r="BB526" s="765">
        <v>3850</v>
      </c>
      <c r="BC526" s="765">
        <v>99.6</v>
      </c>
      <c r="BD526" s="765">
        <v>6030</v>
      </c>
      <c r="BE526" s="767">
        <v>0.66991640207689984</v>
      </c>
      <c r="BF526" s="768">
        <v>925</v>
      </c>
      <c r="BG526" s="765">
        <v>80700</v>
      </c>
      <c r="BH526" s="765">
        <v>178000</v>
      </c>
      <c r="BI526" s="765">
        <v>99700</v>
      </c>
      <c r="BJ526" s="765">
        <v>666</v>
      </c>
      <c r="BK526" s="765">
        <v>5680</v>
      </c>
      <c r="BL526" s="771">
        <v>15600</v>
      </c>
    </row>
    <row r="527" spans="1:64" x14ac:dyDescent="0.3">
      <c r="AI527" s="763" t="s">
        <v>869</v>
      </c>
      <c r="AJ527" s="764">
        <v>57300</v>
      </c>
      <c r="AK527" s="765">
        <v>948</v>
      </c>
      <c r="AL527" s="765">
        <v>24</v>
      </c>
      <c r="AM527" s="765">
        <v>423</v>
      </c>
      <c r="AN527" s="765">
        <v>42.7</v>
      </c>
      <c r="AO527" s="767" t="s">
        <v>870</v>
      </c>
      <c r="AP527" s="767">
        <v>87</v>
      </c>
      <c r="AQ527" s="765">
        <v>46</v>
      </c>
      <c r="AR527" s="770">
        <v>36</v>
      </c>
      <c r="AS527" s="766">
        <v>330</v>
      </c>
      <c r="AT527" s="765">
        <v>491</v>
      </c>
      <c r="AU527" s="767">
        <v>4.49</v>
      </c>
      <c r="AV527" s="768">
        <v>33.299999999999997</v>
      </c>
      <c r="AW527" s="765">
        <v>9700</v>
      </c>
      <c r="AX527" s="765">
        <v>20300</v>
      </c>
      <c r="AY527" s="765">
        <v>398</v>
      </c>
      <c r="AZ527" s="765">
        <v>28000</v>
      </c>
      <c r="BA527" s="765">
        <v>728</v>
      </c>
      <c r="BB527" s="765">
        <v>3410</v>
      </c>
      <c r="BC527" s="765">
        <v>98.5</v>
      </c>
      <c r="BD527" s="765">
        <v>5310</v>
      </c>
      <c r="BE527" s="767">
        <v>0.66010023632983983</v>
      </c>
      <c r="BF527" s="768">
        <v>920.1</v>
      </c>
      <c r="BG527" s="765">
        <v>59100</v>
      </c>
      <c r="BH527" s="765">
        <v>154000</v>
      </c>
      <c r="BI527" s="765">
        <v>98200</v>
      </c>
      <c r="BJ527" s="765">
        <v>586</v>
      </c>
      <c r="BK527" s="765">
        <v>5090</v>
      </c>
      <c r="BL527" s="771">
        <v>13900</v>
      </c>
    </row>
    <row r="528" spans="1:64" x14ac:dyDescent="0.3">
      <c r="AI528" s="763" t="s">
        <v>871</v>
      </c>
      <c r="AJ528" s="764">
        <v>53600</v>
      </c>
      <c r="AK528" s="765">
        <v>943</v>
      </c>
      <c r="AL528" s="765">
        <v>22.5</v>
      </c>
      <c r="AM528" s="765">
        <v>422</v>
      </c>
      <c r="AN528" s="765">
        <v>39.9</v>
      </c>
      <c r="AO528" s="767" t="s">
        <v>872</v>
      </c>
      <c r="AP528" s="767">
        <v>83</v>
      </c>
      <c r="AQ528" s="769">
        <v>44</v>
      </c>
      <c r="AR528" s="770">
        <v>36</v>
      </c>
      <c r="AS528" s="766">
        <v>302</v>
      </c>
      <c r="AT528" s="765">
        <v>449</v>
      </c>
      <c r="AU528" s="767">
        <v>4.95</v>
      </c>
      <c r="AV528" s="768">
        <v>35.9</v>
      </c>
      <c r="AW528" s="765">
        <v>8780</v>
      </c>
      <c r="AX528" s="765">
        <v>18500</v>
      </c>
      <c r="AY528" s="765">
        <v>395</v>
      </c>
      <c r="AZ528" s="765">
        <v>25300</v>
      </c>
      <c r="BA528" s="765">
        <v>656</v>
      </c>
      <c r="BB528" s="765">
        <v>3090</v>
      </c>
      <c r="BC528" s="765">
        <v>97.9</v>
      </c>
      <c r="BD528" s="765">
        <v>4800</v>
      </c>
      <c r="BE528" s="767">
        <v>0.65347595845580453</v>
      </c>
      <c r="BF528" s="768">
        <v>913.9</v>
      </c>
      <c r="BG528" s="765">
        <v>45300</v>
      </c>
      <c r="BH528" s="765">
        <v>137000</v>
      </c>
      <c r="BI528" s="765">
        <v>97100</v>
      </c>
      <c r="BJ528" s="765">
        <v>527</v>
      </c>
      <c r="BK528" s="765">
        <v>4630</v>
      </c>
      <c r="BL528" s="771">
        <v>12600</v>
      </c>
    </row>
    <row r="529" spans="35:64" x14ac:dyDescent="0.3">
      <c r="AI529" s="763" t="s">
        <v>873</v>
      </c>
      <c r="AJ529" s="764">
        <v>49600</v>
      </c>
      <c r="AK529" s="765">
        <v>936</v>
      </c>
      <c r="AL529" s="765">
        <v>21.3</v>
      </c>
      <c r="AM529" s="765">
        <v>420</v>
      </c>
      <c r="AN529" s="765">
        <v>36.6</v>
      </c>
      <c r="AO529" s="767" t="s">
        <v>874</v>
      </c>
      <c r="AP529" s="767">
        <v>79</v>
      </c>
      <c r="AQ529" s="765">
        <v>43</v>
      </c>
      <c r="AR529" s="770">
        <v>36</v>
      </c>
      <c r="AS529" s="766">
        <v>282</v>
      </c>
      <c r="AT529" s="765">
        <v>420</v>
      </c>
      <c r="AU529" s="767">
        <v>5.29</v>
      </c>
      <c r="AV529" s="768">
        <v>38.4</v>
      </c>
      <c r="AW529" s="765">
        <v>8170</v>
      </c>
      <c r="AX529" s="765">
        <v>17300</v>
      </c>
      <c r="AY529" s="765">
        <v>394</v>
      </c>
      <c r="AZ529" s="765">
        <v>23100</v>
      </c>
      <c r="BA529" s="765">
        <v>590</v>
      </c>
      <c r="BB529" s="765">
        <v>2800</v>
      </c>
      <c r="BC529" s="765">
        <v>97.2</v>
      </c>
      <c r="BD529" s="765">
        <v>4340</v>
      </c>
      <c r="BE529" s="767">
        <v>0.64647977353537733</v>
      </c>
      <c r="BF529" s="768">
        <v>910</v>
      </c>
      <c r="BG529" s="765">
        <v>35100</v>
      </c>
      <c r="BH529" s="765">
        <v>122000</v>
      </c>
      <c r="BI529" s="765">
        <v>96000</v>
      </c>
      <c r="BJ529" s="765">
        <v>476</v>
      </c>
      <c r="BK529" s="765">
        <v>4240</v>
      </c>
      <c r="BL529" s="771">
        <v>11400</v>
      </c>
    </row>
    <row r="530" spans="35:64" x14ac:dyDescent="0.3">
      <c r="AI530" s="763" t="s">
        <v>875</v>
      </c>
      <c r="AJ530" s="764">
        <v>46700</v>
      </c>
      <c r="AK530" s="765">
        <v>931</v>
      </c>
      <c r="AL530" s="765">
        <v>20.3</v>
      </c>
      <c r="AM530" s="765">
        <v>419</v>
      </c>
      <c r="AN530" s="765">
        <v>34.299999999999997</v>
      </c>
      <c r="AO530" s="767" t="s">
        <v>876</v>
      </c>
      <c r="AP530" s="767">
        <v>74</v>
      </c>
      <c r="AQ530" s="769">
        <v>42</v>
      </c>
      <c r="AR530" s="770">
        <v>36</v>
      </c>
      <c r="AS530" s="766">
        <v>262</v>
      </c>
      <c r="AT530" s="765">
        <v>390</v>
      </c>
      <c r="AU530" s="767">
        <v>5.74</v>
      </c>
      <c r="AV530" s="768">
        <v>40.5</v>
      </c>
      <c r="AW530" s="765">
        <v>7450</v>
      </c>
      <c r="AX530" s="765">
        <v>15900</v>
      </c>
      <c r="AY530" s="765">
        <v>391</v>
      </c>
      <c r="AZ530" s="765">
        <v>21000</v>
      </c>
      <c r="BA530" s="765">
        <v>540</v>
      </c>
      <c r="BB530" s="765">
        <v>2550</v>
      </c>
      <c r="BC530" s="765">
        <v>97</v>
      </c>
      <c r="BD530" s="765">
        <v>3950</v>
      </c>
      <c r="BE530" s="767">
        <v>0.64690918951406884</v>
      </c>
      <c r="BF530" s="768">
        <v>905.3</v>
      </c>
      <c r="BG530" s="765">
        <v>26800</v>
      </c>
      <c r="BH530" s="765">
        <v>111000</v>
      </c>
      <c r="BI530" s="765">
        <v>95700</v>
      </c>
      <c r="BJ530" s="765">
        <v>432</v>
      </c>
      <c r="BK530" s="765">
        <v>3860</v>
      </c>
      <c r="BL530" s="771">
        <v>10400</v>
      </c>
    </row>
    <row r="531" spans="35:64" x14ac:dyDescent="0.3">
      <c r="AI531" s="763" t="s">
        <v>877</v>
      </c>
      <c r="AJ531" s="764">
        <v>43900</v>
      </c>
      <c r="AK531" s="765">
        <v>927</v>
      </c>
      <c r="AL531" s="765">
        <v>19.3</v>
      </c>
      <c r="AM531" s="765">
        <v>418</v>
      </c>
      <c r="AN531" s="765">
        <v>32</v>
      </c>
      <c r="AO531" s="767" t="s">
        <v>878</v>
      </c>
      <c r="AP531" s="767">
        <v>71</v>
      </c>
      <c r="AQ531" s="769">
        <v>41</v>
      </c>
      <c r="AR531" s="770">
        <v>36</v>
      </c>
      <c r="AS531" s="766">
        <v>247</v>
      </c>
      <c r="AT531" s="765">
        <v>368</v>
      </c>
      <c r="AU531" s="767">
        <v>6.11</v>
      </c>
      <c r="AV531" s="768">
        <v>42.5</v>
      </c>
      <c r="AW531" s="765">
        <v>6960</v>
      </c>
      <c r="AX531" s="765">
        <v>14900</v>
      </c>
      <c r="AY531" s="765">
        <v>390</v>
      </c>
      <c r="AZ531" s="765">
        <v>19600</v>
      </c>
      <c r="BA531" s="765">
        <v>501</v>
      </c>
      <c r="BB531" s="765">
        <v>2370</v>
      </c>
      <c r="BC531" s="765">
        <v>96.7</v>
      </c>
      <c r="BD531" s="765">
        <v>3670</v>
      </c>
      <c r="BE531" s="767">
        <v>0.64281562229557754</v>
      </c>
      <c r="BF531" s="768">
        <v>903.1</v>
      </c>
      <c r="BG531" s="765">
        <v>22000</v>
      </c>
      <c r="BH531" s="765">
        <v>102000</v>
      </c>
      <c r="BI531" s="765">
        <v>95300</v>
      </c>
      <c r="BJ531" s="765">
        <v>401</v>
      </c>
      <c r="BK531" s="765">
        <v>3600</v>
      </c>
      <c r="BL531" s="771">
        <v>9700</v>
      </c>
    </row>
    <row r="532" spans="35:64" x14ac:dyDescent="0.3">
      <c r="AI532" s="763" t="s">
        <v>879</v>
      </c>
      <c r="AJ532" s="764">
        <v>48600</v>
      </c>
      <c r="AK532" s="765">
        <v>951</v>
      </c>
      <c r="AL532" s="765">
        <v>24.4</v>
      </c>
      <c r="AM532" s="765">
        <v>310</v>
      </c>
      <c r="AN532" s="765">
        <v>43.9</v>
      </c>
      <c r="AO532" s="767" t="s">
        <v>880</v>
      </c>
      <c r="AP532" s="767">
        <v>68</v>
      </c>
      <c r="AQ532" s="769">
        <v>41</v>
      </c>
      <c r="AR532" s="770">
        <v>36</v>
      </c>
      <c r="AS532" s="766">
        <v>231</v>
      </c>
      <c r="AT532" s="765">
        <v>344</v>
      </c>
      <c r="AU532" s="767">
        <v>6.53</v>
      </c>
      <c r="AV532" s="768">
        <v>44.7</v>
      </c>
      <c r="AW532" s="765">
        <v>6480</v>
      </c>
      <c r="AX532" s="765">
        <v>14000</v>
      </c>
      <c r="AY532" s="765">
        <v>388</v>
      </c>
      <c r="AZ532" s="765">
        <v>18000</v>
      </c>
      <c r="BA532" s="765">
        <v>453</v>
      </c>
      <c r="BB532" s="765">
        <v>2160</v>
      </c>
      <c r="BC532" s="765">
        <v>95.5</v>
      </c>
      <c r="BD532" s="765">
        <v>3330</v>
      </c>
      <c r="BE532" s="767">
        <v>0.63650212331460276</v>
      </c>
      <c r="BF532" s="768">
        <v>899.4</v>
      </c>
      <c r="BG532" s="765">
        <v>17300</v>
      </c>
      <c r="BH532" s="765">
        <v>91600</v>
      </c>
      <c r="BI532" s="765">
        <v>94400</v>
      </c>
      <c r="BJ532" s="765">
        <v>363</v>
      </c>
      <c r="BK532" s="765">
        <v>3280</v>
      </c>
      <c r="BL532" s="771">
        <v>8890</v>
      </c>
    </row>
    <row r="533" spans="35:64" x14ac:dyDescent="0.3">
      <c r="AI533" s="763" t="s">
        <v>881</v>
      </c>
      <c r="AJ533" s="764">
        <v>44000</v>
      </c>
      <c r="AK533" s="765">
        <v>943</v>
      </c>
      <c r="AL533" s="765">
        <v>22.1</v>
      </c>
      <c r="AM533" s="765">
        <v>308</v>
      </c>
      <c r="AN533" s="765">
        <v>39.9</v>
      </c>
      <c r="AO533" s="767" t="s">
        <v>882</v>
      </c>
      <c r="AP533" s="767">
        <v>66</v>
      </c>
      <c r="AQ533" s="765">
        <v>40</v>
      </c>
      <c r="AR533" s="770">
        <v>36</v>
      </c>
      <c r="AS533" s="766">
        <v>256</v>
      </c>
      <c r="AT533" s="765">
        <v>381</v>
      </c>
      <c r="AU533" s="767">
        <v>3.53</v>
      </c>
      <c r="AV533" s="768">
        <v>35.4</v>
      </c>
      <c r="AW533" s="765">
        <v>6970</v>
      </c>
      <c r="AX533" s="765">
        <v>14700</v>
      </c>
      <c r="AY533" s="765">
        <v>386</v>
      </c>
      <c r="AZ533" s="765">
        <v>16900</v>
      </c>
      <c r="BA533" s="765">
        <v>421</v>
      </c>
      <c r="BB533" s="765">
        <v>2010</v>
      </c>
      <c r="BC533" s="765">
        <v>94.9</v>
      </c>
      <c r="BD533" s="765">
        <v>3110</v>
      </c>
      <c r="BE533" s="767">
        <v>0.63306491080090255</v>
      </c>
      <c r="BF533" s="768">
        <v>896.7</v>
      </c>
      <c r="BG533" s="765">
        <v>14500</v>
      </c>
      <c r="BH533" s="765">
        <v>84700</v>
      </c>
      <c r="BI533" s="765">
        <v>93900</v>
      </c>
      <c r="BJ533" s="765">
        <v>337</v>
      </c>
      <c r="BK533" s="765">
        <v>3070</v>
      </c>
      <c r="BL533" s="771">
        <v>8330</v>
      </c>
    </row>
    <row r="534" spans="35:64" x14ac:dyDescent="0.3">
      <c r="AI534" s="763" t="s">
        <v>883</v>
      </c>
      <c r="AJ534" s="764">
        <v>39800</v>
      </c>
      <c r="AK534" s="765">
        <v>932</v>
      </c>
      <c r="AL534" s="765">
        <v>21.1</v>
      </c>
      <c r="AM534" s="765">
        <v>309</v>
      </c>
      <c r="AN534" s="765">
        <v>34.5</v>
      </c>
      <c r="AO534" s="767" t="s">
        <v>884</v>
      </c>
      <c r="AP534" s="767">
        <v>64</v>
      </c>
      <c r="AQ534" s="769">
        <v>40</v>
      </c>
      <c r="AR534" s="770">
        <v>36</v>
      </c>
      <c r="AS534" s="766">
        <v>232</v>
      </c>
      <c r="AT534" s="765">
        <v>345</v>
      </c>
      <c r="AU534" s="767">
        <v>3.86</v>
      </c>
      <c r="AV534" s="768">
        <v>39.1</v>
      </c>
      <c r="AW534" s="765">
        <v>6260</v>
      </c>
      <c r="AX534" s="765">
        <v>13300</v>
      </c>
      <c r="AY534" s="765">
        <v>384</v>
      </c>
      <c r="AZ534" s="765">
        <v>15800</v>
      </c>
      <c r="BA534" s="765">
        <v>390</v>
      </c>
      <c r="BB534" s="765">
        <v>1870</v>
      </c>
      <c r="BC534" s="765">
        <v>94.3</v>
      </c>
      <c r="BD534" s="765">
        <v>2880</v>
      </c>
      <c r="BE534" s="767">
        <v>0.62786300227170111</v>
      </c>
      <c r="BF534" s="768">
        <v>895</v>
      </c>
      <c r="BG534" s="765">
        <v>11900</v>
      </c>
      <c r="BH534" s="765">
        <v>78100</v>
      </c>
      <c r="BI534" s="765">
        <v>93500</v>
      </c>
      <c r="BJ534" s="765">
        <v>313</v>
      </c>
      <c r="BK534" s="765">
        <v>2850</v>
      </c>
      <c r="BL534" s="771">
        <v>7780</v>
      </c>
    </row>
    <row r="535" spans="35:64" x14ac:dyDescent="0.3">
      <c r="AI535" s="763" t="s">
        <v>885</v>
      </c>
      <c r="AJ535" s="764">
        <v>36800</v>
      </c>
      <c r="AK535" s="765">
        <v>927</v>
      </c>
      <c r="AL535" s="765">
        <v>19.399999999999999</v>
      </c>
      <c r="AM535" s="765">
        <v>308</v>
      </c>
      <c r="AN535" s="765">
        <v>32</v>
      </c>
      <c r="AO535" s="767" t="s">
        <v>886</v>
      </c>
      <c r="AP535" s="767">
        <v>66</v>
      </c>
      <c r="AQ535" s="769">
        <v>33</v>
      </c>
      <c r="AR535" s="770">
        <v>36</v>
      </c>
      <c r="AS535" s="766">
        <v>210</v>
      </c>
      <c r="AT535" s="765">
        <v>313</v>
      </c>
      <c r="AU535" s="767">
        <v>4.4800000000000004</v>
      </c>
      <c r="AV535" s="768">
        <v>40.9</v>
      </c>
      <c r="AW535" s="765">
        <v>5480</v>
      </c>
      <c r="AX535" s="765">
        <v>11800</v>
      </c>
      <c r="AY535" s="765">
        <v>379</v>
      </c>
      <c r="AZ535" s="765">
        <v>17000</v>
      </c>
      <c r="BA535" s="765">
        <v>219</v>
      </c>
      <c r="BB535" s="765">
        <v>1410</v>
      </c>
      <c r="BC535" s="765">
        <v>67.099999999999994</v>
      </c>
      <c r="BD535" s="765">
        <v>2240</v>
      </c>
      <c r="BE535" s="767">
        <v>0.46237729166237168</v>
      </c>
      <c r="BF535" s="768">
        <v>907.1</v>
      </c>
      <c r="BG535" s="765">
        <v>22000</v>
      </c>
      <c r="BH535" s="765">
        <v>45100</v>
      </c>
      <c r="BI535" s="765">
        <v>70300</v>
      </c>
      <c r="BJ535" s="765">
        <v>239</v>
      </c>
      <c r="BK535" s="765">
        <v>2840</v>
      </c>
      <c r="BL535" s="771">
        <v>8440</v>
      </c>
    </row>
    <row r="536" spans="35:64" x14ac:dyDescent="0.3">
      <c r="AI536" s="763" t="s">
        <v>887</v>
      </c>
      <c r="AJ536" s="764">
        <v>34600</v>
      </c>
      <c r="AK536" s="765">
        <v>923</v>
      </c>
      <c r="AL536" s="765">
        <v>18.399999999999999</v>
      </c>
      <c r="AM536" s="765">
        <v>307</v>
      </c>
      <c r="AN536" s="765">
        <v>30</v>
      </c>
      <c r="AO536" s="767" t="s">
        <v>888</v>
      </c>
      <c r="AP536" s="767">
        <v>62</v>
      </c>
      <c r="AQ536" s="769">
        <v>31</v>
      </c>
      <c r="AR536" s="770">
        <v>36</v>
      </c>
      <c r="AS536" s="766">
        <v>194</v>
      </c>
      <c r="AT536" s="765">
        <v>289</v>
      </c>
      <c r="AU536" s="767">
        <v>4.8099999999999996</v>
      </c>
      <c r="AV536" s="768">
        <v>44.5</v>
      </c>
      <c r="AW536" s="765">
        <v>5050</v>
      </c>
      <c r="AX536" s="765">
        <v>10900</v>
      </c>
      <c r="AY536" s="765">
        <v>377</v>
      </c>
      <c r="AZ536" s="765">
        <v>15300</v>
      </c>
      <c r="BA536" s="765">
        <v>195</v>
      </c>
      <c r="BB536" s="765">
        <v>1270</v>
      </c>
      <c r="BC536" s="765">
        <v>66.599999999999994</v>
      </c>
      <c r="BD536" s="765">
        <v>2000</v>
      </c>
      <c r="BE536" s="767">
        <v>0.45767121691948898</v>
      </c>
      <c r="BF536" s="768">
        <v>903.1</v>
      </c>
      <c r="BG536" s="765">
        <v>16500</v>
      </c>
      <c r="BH536" s="765">
        <v>39800</v>
      </c>
      <c r="BI536" s="765">
        <v>69500</v>
      </c>
      <c r="BJ536" s="765">
        <v>214</v>
      </c>
      <c r="BK536" s="765">
        <v>2580</v>
      </c>
      <c r="BL536" s="771">
        <v>7610</v>
      </c>
    </row>
    <row r="537" spans="35:64" x14ac:dyDescent="0.3">
      <c r="AI537" s="763" t="s">
        <v>889</v>
      </c>
      <c r="AJ537" s="764">
        <v>32300</v>
      </c>
      <c r="AK537" s="765">
        <v>919</v>
      </c>
      <c r="AL537" s="765">
        <v>17.3</v>
      </c>
      <c r="AM537" s="765">
        <v>306</v>
      </c>
      <c r="AN537" s="765">
        <v>27.9</v>
      </c>
      <c r="AO537" s="767" t="s">
        <v>890</v>
      </c>
      <c r="AP537" s="767">
        <v>56</v>
      </c>
      <c r="AQ537" s="769">
        <v>31</v>
      </c>
      <c r="AR537" s="770">
        <v>36</v>
      </c>
      <c r="AS537" s="766">
        <v>182</v>
      </c>
      <c r="AT537" s="765">
        <v>271</v>
      </c>
      <c r="AU537" s="767">
        <v>5.12</v>
      </c>
      <c r="AV537" s="768">
        <v>46.9</v>
      </c>
      <c r="AW537" s="765">
        <v>4720</v>
      </c>
      <c r="AX537" s="765">
        <v>10200</v>
      </c>
      <c r="AY537" s="765">
        <v>371</v>
      </c>
      <c r="AZ537" s="765">
        <v>13600</v>
      </c>
      <c r="BA537" s="765">
        <v>170</v>
      </c>
      <c r="BB537" s="765">
        <v>1100</v>
      </c>
      <c r="BC537" s="765">
        <v>65.400000000000006</v>
      </c>
      <c r="BD537" s="765">
        <v>1750</v>
      </c>
      <c r="BE537" s="767">
        <v>0.45237100076139758</v>
      </c>
      <c r="BF537" s="768">
        <v>897.5</v>
      </c>
      <c r="BG537" s="765">
        <v>11600</v>
      </c>
      <c r="BH537" s="765">
        <v>34300</v>
      </c>
      <c r="BI537" s="765">
        <v>69300</v>
      </c>
      <c r="BJ537" s="765">
        <v>185</v>
      </c>
      <c r="BK537" s="765">
        <v>2230</v>
      </c>
      <c r="BL537" s="771">
        <v>6750</v>
      </c>
    </row>
    <row r="538" spans="35:64" x14ac:dyDescent="0.3">
      <c r="AI538" s="763" t="s">
        <v>891</v>
      </c>
      <c r="AJ538" s="764">
        <v>30400</v>
      </c>
      <c r="AK538" s="765">
        <v>915</v>
      </c>
      <c r="AL538" s="765">
        <v>16.5</v>
      </c>
      <c r="AM538" s="765">
        <v>305</v>
      </c>
      <c r="AN538" s="765">
        <v>25.9</v>
      </c>
      <c r="AO538" s="767" t="s">
        <v>892</v>
      </c>
      <c r="AP538" s="767">
        <v>54</v>
      </c>
      <c r="AQ538" s="765">
        <v>30</v>
      </c>
      <c r="AR538" s="770">
        <v>36</v>
      </c>
      <c r="AS538" s="766">
        <v>170</v>
      </c>
      <c r="AT538" s="765">
        <v>253</v>
      </c>
      <c r="AU538" s="767">
        <v>5.48</v>
      </c>
      <c r="AV538" s="768">
        <v>49.9</v>
      </c>
      <c r="AW538" s="765">
        <v>4380</v>
      </c>
      <c r="AX538" s="765">
        <v>9520</v>
      </c>
      <c r="AY538" s="765">
        <v>370</v>
      </c>
      <c r="AZ538" s="765">
        <v>12600</v>
      </c>
      <c r="BA538" s="765">
        <v>156</v>
      </c>
      <c r="BB538" s="765">
        <v>1020</v>
      </c>
      <c r="BC538" s="765">
        <v>65.2</v>
      </c>
      <c r="BD538" s="765">
        <v>1600</v>
      </c>
      <c r="BE538" s="767">
        <v>0.45025027319462813</v>
      </c>
      <c r="BF538" s="768">
        <v>895</v>
      </c>
      <c r="BG538" s="765">
        <v>9230</v>
      </c>
      <c r="BH538" s="765">
        <v>31300</v>
      </c>
      <c r="BI538" s="765">
        <v>68900</v>
      </c>
      <c r="BJ538" s="765">
        <v>170</v>
      </c>
      <c r="BK538" s="765">
        <v>2070</v>
      </c>
      <c r="BL538" s="771">
        <v>6220</v>
      </c>
    </row>
    <row r="539" spans="35:64" x14ac:dyDescent="0.3">
      <c r="AI539" s="763" t="s">
        <v>893</v>
      </c>
      <c r="AJ539" s="764">
        <v>28600</v>
      </c>
      <c r="AK539" s="765">
        <v>911</v>
      </c>
      <c r="AL539" s="765">
        <v>15.9</v>
      </c>
      <c r="AM539" s="765">
        <v>304</v>
      </c>
      <c r="AN539" s="765">
        <v>23.9</v>
      </c>
      <c r="AO539" s="767" t="s">
        <v>894</v>
      </c>
      <c r="AP539" s="767">
        <v>52</v>
      </c>
      <c r="AQ539" s="769">
        <v>30</v>
      </c>
      <c r="AR539" s="770">
        <v>36</v>
      </c>
      <c r="AS539" s="766">
        <v>160</v>
      </c>
      <c r="AT539" s="765">
        <v>238</v>
      </c>
      <c r="AU539" s="767">
        <v>5.89</v>
      </c>
      <c r="AV539" s="768">
        <v>52.3</v>
      </c>
      <c r="AW539" s="765">
        <v>4060</v>
      </c>
      <c r="AX539" s="765">
        <v>8880</v>
      </c>
      <c r="AY539" s="765">
        <v>369</v>
      </c>
      <c r="AZ539" s="765">
        <v>11800</v>
      </c>
      <c r="BA539" s="765">
        <v>145</v>
      </c>
      <c r="BB539" s="765">
        <v>946</v>
      </c>
      <c r="BC539" s="765">
        <v>64.8</v>
      </c>
      <c r="BD539" s="765">
        <v>1490</v>
      </c>
      <c r="BE539" s="767">
        <v>0.44798799423630942</v>
      </c>
      <c r="BF539" s="768">
        <v>893</v>
      </c>
      <c r="BG539" s="765">
        <v>7700</v>
      </c>
      <c r="BH539" s="765">
        <v>28900</v>
      </c>
      <c r="BI539" s="765">
        <v>68500</v>
      </c>
      <c r="BJ539" s="765">
        <v>158</v>
      </c>
      <c r="BK539" s="765">
        <v>1930</v>
      </c>
      <c r="BL539" s="771">
        <v>5830</v>
      </c>
    </row>
    <row r="540" spans="35:64" x14ac:dyDescent="0.3">
      <c r="AI540" s="763" t="s">
        <v>895</v>
      </c>
      <c r="AJ540" s="764">
        <v>25600</v>
      </c>
      <c r="AK540" s="765">
        <v>903</v>
      </c>
      <c r="AL540" s="765">
        <v>15.2</v>
      </c>
      <c r="AM540" s="765">
        <v>304</v>
      </c>
      <c r="AN540" s="765">
        <v>20.100000000000001</v>
      </c>
      <c r="AO540" s="767" t="s">
        <v>896</v>
      </c>
      <c r="AP540" s="767">
        <v>50</v>
      </c>
      <c r="AQ540" s="765">
        <v>29</v>
      </c>
      <c r="AR540" s="770">
        <v>36</v>
      </c>
      <c r="AS540" s="766">
        <v>150</v>
      </c>
      <c r="AT540" s="765">
        <v>223</v>
      </c>
      <c r="AU540" s="767">
        <v>6.36</v>
      </c>
      <c r="AV540" s="768">
        <v>54.3</v>
      </c>
      <c r="AW540" s="765">
        <v>3770</v>
      </c>
      <c r="AX540" s="765">
        <v>8270</v>
      </c>
      <c r="AY540" s="765">
        <v>368</v>
      </c>
      <c r="AZ540" s="765">
        <v>11000</v>
      </c>
      <c r="BA540" s="765">
        <v>134</v>
      </c>
      <c r="BB540" s="765">
        <v>874</v>
      </c>
      <c r="BC540" s="765">
        <v>64.3</v>
      </c>
      <c r="BD540" s="765">
        <v>1370</v>
      </c>
      <c r="BE540" s="767">
        <v>0.44490695395646013</v>
      </c>
      <c r="BF540" s="768">
        <v>891.1</v>
      </c>
      <c r="BG540" s="765">
        <v>6270</v>
      </c>
      <c r="BH540" s="765">
        <v>26500</v>
      </c>
      <c r="BI540" s="765">
        <v>68200</v>
      </c>
      <c r="BJ540" s="765">
        <v>145</v>
      </c>
      <c r="BK540" s="765">
        <v>1790</v>
      </c>
      <c r="BL540" s="771">
        <v>5420</v>
      </c>
    </row>
    <row r="541" spans="35:64" x14ac:dyDescent="0.3">
      <c r="AI541" s="763" t="s">
        <v>897</v>
      </c>
      <c r="AJ541" s="764">
        <v>73400</v>
      </c>
      <c r="AK541" s="765">
        <v>913</v>
      </c>
      <c r="AL541" s="765">
        <v>32</v>
      </c>
      <c r="AM541" s="765">
        <v>411</v>
      </c>
      <c r="AN541" s="765">
        <v>57.9</v>
      </c>
      <c r="AO541" s="767" t="s">
        <v>898</v>
      </c>
      <c r="AP541" s="767">
        <v>48</v>
      </c>
      <c r="AQ541" s="769">
        <v>29</v>
      </c>
      <c r="AR541" s="770">
        <v>36</v>
      </c>
      <c r="AS541" s="766">
        <v>135</v>
      </c>
      <c r="AT541" s="765">
        <v>201</v>
      </c>
      <c r="AU541" s="767">
        <v>7.56</v>
      </c>
      <c r="AV541" s="768">
        <v>56.8</v>
      </c>
      <c r="AW541" s="765">
        <v>3250</v>
      </c>
      <c r="AX541" s="765">
        <v>7200</v>
      </c>
      <c r="AY541" s="765">
        <v>366</v>
      </c>
      <c r="AZ541" s="765">
        <v>10200</v>
      </c>
      <c r="BA541" s="765">
        <v>123</v>
      </c>
      <c r="BB541" s="765">
        <v>806</v>
      </c>
      <c r="BC541" s="765">
        <v>63.6</v>
      </c>
      <c r="BD541" s="765">
        <v>1270</v>
      </c>
      <c r="BE541" s="767">
        <v>0.44123643129315948</v>
      </c>
      <c r="BF541" s="768">
        <v>889.1</v>
      </c>
      <c r="BG541" s="765">
        <v>5150</v>
      </c>
      <c r="BH541" s="765">
        <v>24300</v>
      </c>
      <c r="BI541" s="765">
        <v>67800</v>
      </c>
      <c r="BJ541" s="765">
        <v>134</v>
      </c>
      <c r="BK541" s="765">
        <v>1660</v>
      </c>
      <c r="BL541" s="771">
        <v>5050</v>
      </c>
    </row>
    <row r="542" spans="35:64" x14ac:dyDescent="0.3">
      <c r="AI542" s="763" t="s">
        <v>899</v>
      </c>
      <c r="AJ542" s="764">
        <v>67300</v>
      </c>
      <c r="AK542" s="765">
        <v>903</v>
      </c>
      <c r="AL542" s="765">
        <v>29.5</v>
      </c>
      <c r="AM542" s="765">
        <v>409</v>
      </c>
      <c r="AN542" s="765">
        <v>53.1</v>
      </c>
      <c r="AO542" s="767" t="s">
        <v>900</v>
      </c>
      <c r="AP542" s="767">
        <v>46</v>
      </c>
      <c r="AQ542" s="765">
        <v>28</v>
      </c>
      <c r="AR542" s="770">
        <v>36</v>
      </c>
      <c r="AS542" s="766">
        <v>387</v>
      </c>
      <c r="AT542" s="765">
        <v>576</v>
      </c>
      <c r="AU542" s="767">
        <v>3.55</v>
      </c>
      <c r="AV542" s="768">
        <v>24.9</v>
      </c>
      <c r="AW542" s="765">
        <v>10100</v>
      </c>
      <c r="AX542" s="765">
        <v>22200</v>
      </c>
      <c r="AY542" s="765">
        <v>363</v>
      </c>
      <c r="AZ542" s="765">
        <v>9540</v>
      </c>
      <c r="BA542" s="765">
        <v>112</v>
      </c>
      <c r="BB542" s="765">
        <v>738</v>
      </c>
      <c r="BC542" s="765">
        <v>62.7</v>
      </c>
      <c r="BD542" s="765">
        <v>1160</v>
      </c>
      <c r="BE542" s="767">
        <v>0.43616400229463548</v>
      </c>
      <c r="BF542" s="768">
        <v>887.1</v>
      </c>
      <c r="BG542" s="765">
        <v>4220</v>
      </c>
      <c r="BH542" s="765">
        <v>22100</v>
      </c>
      <c r="BI542" s="765">
        <v>67400</v>
      </c>
      <c r="BJ542" s="765">
        <v>122</v>
      </c>
      <c r="BK542" s="765">
        <v>1530</v>
      </c>
      <c r="BL542" s="771">
        <v>4700</v>
      </c>
    </row>
    <row r="543" spans="35:64" x14ac:dyDescent="0.3">
      <c r="AI543" s="763" t="s">
        <v>901</v>
      </c>
      <c r="AJ543" s="764">
        <v>60400</v>
      </c>
      <c r="AK543" s="765">
        <v>893</v>
      </c>
      <c r="AL543" s="765">
        <v>26.4</v>
      </c>
      <c r="AM543" s="765">
        <v>406</v>
      </c>
      <c r="AN543" s="765">
        <v>48</v>
      </c>
      <c r="AO543" s="767" t="s">
        <v>902</v>
      </c>
      <c r="AP543" s="767">
        <v>42</v>
      </c>
      <c r="AQ543" s="772">
        <v>28</v>
      </c>
      <c r="AR543" s="770">
        <v>36</v>
      </c>
      <c r="AS543" s="766">
        <v>354</v>
      </c>
      <c r="AT543" s="765">
        <v>527</v>
      </c>
      <c r="AU543" s="767">
        <v>3.85</v>
      </c>
      <c r="AV543" s="768">
        <v>27</v>
      </c>
      <c r="AW543" s="765">
        <v>9150</v>
      </c>
      <c r="AX543" s="765">
        <v>20300</v>
      </c>
      <c r="AY543" s="765">
        <v>356</v>
      </c>
      <c r="AZ543" s="765">
        <v>8360</v>
      </c>
      <c r="BA543" s="765">
        <v>94.4</v>
      </c>
      <c r="BB543" s="765">
        <v>621</v>
      </c>
      <c r="BC543" s="765">
        <v>60.7</v>
      </c>
      <c r="BD543" s="765">
        <v>982</v>
      </c>
      <c r="BE543" s="767">
        <v>0.42783982319670461</v>
      </c>
      <c r="BF543" s="768">
        <v>882.9</v>
      </c>
      <c r="BG543" s="765">
        <v>2910</v>
      </c>
      <c r="BH543" s="765">
        <v>18400</v>
      </c>
      <c r="BI543" s="765">
        <v>67100</v>
      </c>
      <c r="BJ543" s="765">
        <v>103</v>
      </c>
      <c r="BK543" s="765">
        <v>1280</v>
      </c>
      <c r="BL543" s="771">
        <v>4110</v>
      </c>
    </row>
    <row r="544" spans="35:64" x14ac:dyDescent="0.3">
      <c r="AI544" s="763" t="s">
        <v>903</v>
      </c>
      <c r="AJ544" s="764">
        <v>55300</v>
      </c>
      <c r="AK544" s="765">
        <v>885</v>
      </c>
      <c r="AL544" s="765">
        <v>24.4</v>
      </c>
      <c r="AM544" s="765">
        <v>404</v>
      </c>
      <c r="AN544" s="765">
        <v>43.9</v>
      </c>
      <c r="AO544" s="767" t="s">
        <v>904</v>
      </c>
      <c r="AP544" s="767">
        <v>79</v>
      </c>
      <c r="AQ544" s="765">
        <v>36</v>
      </c>
      <c r="AR544" s="766">
        <v>33</v>
      </c>
      <c r="AS544" s="766">
        <v>318</v>
      </c>
      <c r="AT544" s="765">
        <v>473</v>
      </c>
      <c r="AU544" s="767">
        <v>4.2300000000000004</v>
      </c>
      <c r="AV544" s="768">
        <v>30.2</v>
      </c>
      <c r="AW544" s="765">
        <v>8130</v>
      </c>
      <c r="AX544" s="765">
        <v>18200</v>
      </c>
      <c r="AY544" s="765">
        <v>371</v>
      </c>
      <c r="AZ544" s="765">
        <v>25600</v>
      </c>
      <c r="BA544" s="765">
        <v>672</v>
      </c>
      <c r="BB544" s="765">
        <v>3270</v>
      </c>
      <c r="BC544" s="765">
        <v>95.7</v>
      </c>
      <c r="BD544" s="765">
        <v>5100</v>
      </c>
      <c r="BE544" s="767">
        <v>0.63994420237976757</v>
      </c>
      <c r="BF544" s="768">
        <v>855.1</v>
      </c>
      <c r="BG544" s="765">
        <v>61700</v>
      </c>
      <c r="BH544" s="765">
        <v>123000</v>
      </c>
      <c r="BI544" s="765">
        <v>87900</v>
      </c>
      <c r="BJ544" s="765">
        <v>523</v>
      </c>
      <c r="BK544" s="765">
        <v>4690</v>
      </c>
      <c r="BL544" s="771">
        <v>12700</v>
      </c>
    </row>
    <row r="545" spans="35:64" x14ac:dyDescent="0.3">
      <c r="AI545" s="763" t="s">
        <v>905</v>
      </c>
      <c r="AJ545" s="764">
        <v>50000</v>
      </c>
      <c r="AK545" s="765">
        <v>877</v>
      </c>
      <c r="AL545" s="765">
        <v>22.1</v>
      </c>
      <c r="AM545" s="765">
        <v>401</v>
      </c>
      <c r="AN545" s="765">
        <v>39.9</v>
      </c>
      <c r="AO545" s="767" t="s">
        <v>906</v>
      </c>
      <c r="AP545" s="767">
        <v>75</v>
      </c>
      <c r="AQ545" s="769">
        <v>35</v>
      </c>
      <c r="AR545" s="766">
        <v>33</v>
      </c>
      <c r="AS545" s="766">
        <v>291</v>
      </c>
      <c r="AT545" s="765">
        <v>433</v>
      </c>
      <c r="AU545" s="767">
        <v>4.5999999999999996</v>
      </c>
      <c r="AV545" s="768">
        <v>32.700000000000003</v>
      </c>
      <c r="AW545" s="765">
        <v>7360</v>
      </c>
      <c r="AX545" s="765">
        <v>16600</v>
      </c>
      <c r="AY545" s="765">
        <v>369</v>
      </c>
      <c r="AZ545" s="765">
        <v>23300</v>
      </c>
      <c r="BA545" s="765">
        <v>607</v>
      </c>
      <c r="BB545" s="765">
        <v>2970</v>
      </c>
      <c r="BC545" s="765">
        <v>95</v>
      </c>
      <c r="BD545" s="765">
        <v>4620</v>
      </c>
      <c r="BE545" s="767">
        <v>0.63444988807210911</v>
      </c>
      <c r="BF545" s="768">
        <v>849.9</v>
      </c>
      <c r="BG545" s="765">
        <v>47800</v>
      </c>
      <c r="BH545" s="765">
        <v>110000</v>
      </c>
      <c r="BI545" s="765">
        <v>86900</v>
      </c>
      <c r="BJ545" s="765">
        <v>472</v>
      </c>
      <c r="BK545" s="765">
        <v>4280</v>
      </c>
      <c r="BL545" s="771">
        <v>11600</v>
      </c>
    </row>
    <row r="546" spans="35:64" x14ac:dyDescent="0.3">
      <c r="AI546" s="763" t="s">
        <v>907</v>
      </c>
      <c r="AJ546" s="764">
        <v>45800</v>
      </c>
      <c r="AK546" s="765">
        <v>868</v>
      </c>
      <c r="AL546" s="765">
        <v>21.1</v>
      </c>
      <c r="AM546" s="765">
        <v>403</v>
      </c>
      <c r="AN546" s="765">
        <v>35.6</v>
      </c>
      <c r="AO546" s="767" t="s">
        <v>908</v>
      </c>
      <c r="AP546" s="767">
        <v>70</v>
      </c>
      <c r="AQ546" s="770">
        <v>33</v>
      </c>
      <c r="AR546" s="766">
        <v>33</v>
      </c>
      <c r="AS546" s="766">
        <v>263</v>
      </c>
      <c r="AT546" s="765">
        <v>392</v>
      </c>
      <c r="AU546" s="767">
        <v>5.03</v>
      </c>
      <c r="AV546" s="768">
        <v>36.1</v>
      </c>
      <c r="AW546" s="765">
        <v>6600</v>
      </c>
      <c r="AX546" s="765">
        <v>15000</v>
      </c>
      <c r="AY546" s="765">
        <v>367</v>
      </c>
      <c r="AZ546" s="765">
        <v>20800</v>
      </c>
      <c r="BA546" s="765">
        <v>537</v>
      </c>
      <c r="BB546" s="765">
        <v>2640</v>
      </c>
      <c r="BC546" s="765">
        <v>94.3</v>
      </c>
      <c r="BD546" s="765">
        <v>4100</v>
      </c>
      <c r="BE546" s="767">
        <v>0.62776811651683684</v>
      </c>
      <c r="BF546" s="768">
        <v>845</v>
      </c>
      <c r="BG546" s="765">
        <v>35100</v>
      </c>
      <c r="BH546" s="765">
        <v>95800</v>
      </c>
      <c r="BI546" s="765">
        <v>85800</v>
      </c>
      <c r="BJ546" s="765">
        <v>418</v>
      </c>
      <c r="BK546" s="765">
        <v>3850</v>
      </c>
      <c r="BL546" s="771">
        <v>10300</v>
      </c>
    </row>
    <row r="547" spans="35:64" x14ac:dyDescent="0.3">
      <c r="AI547" s="763" t="s">
        <v>909</v>
      </c>
      <c r="AJ547" s="764">
        <v>42000</v>
      </c>
      <c r="AK547" s="765">
        <v>862</v>
      </c>
      <c r="AL547" s="765">
        <v>19.7</v>
      </c>
      <c r="AM547" s="765">
        <v>401</v>
      </c>
      <c r="AN547" s="765">
        <v>32.4</v>
      </c>
      <c r="AO547" s="767" t="s">
        <v>910</v>
      </c>
      <c r="AP547" s="767">
        <v>65</v>
      </c>
      <c r="AQ547" s="769">
        <v>32</v>
      </c>
      <c r="AR547" s="766">
        <v>33</v>
      </c>
      <c r="AS547" s="766">
        <v>241</v>
      </c>
      <c r="AT547" s="765">
        <v>359</v>
      </c>
      <c r="AU547" s="767">
        <v>5.66</v>
      </c>
      <c r="AV547" s="768">
        <v>37.799999999999997</v>
      </c>
      <c r="AW547" s="765">
        <v>5920</v>
      </c>
      <c r="AX547" s="765">
        <v>13600</v>
      </c>
      <c r="AY547" s="765">
        <v>365</v>
      </c>
      <c r="AZ547" s="765">
        <v>18900</v>
      </c>
      <c r="BA547" s="765">
        <v>484</v>
      </c>
      <c r="BB547" s="765">
        <v>2390</v>
      </c>
      <c r="BC547" s="765">
        <v>93.5</v>
      </c>
      <c r="BD547" s="765">
        <v>3710</v>
      </c>
      <c r="BE547" s="767">
        <v>0.62251357306409882</v>
      </c>
      <c r="BF547" s="768">
        <v>841.1</v>
      </c>
      <c r="BG547" s="765">
        <v>27000</v>
      </c>
      <c r="BH547" s="765">
        <v>85500</v>
      </c>
      <c r="BI547" s="765">
        <v>85000</v>
      </c>
      <c r="BJ547" s="765">
        <v>377</v>
      </c>
      <c r="BK547" s="765">
        <v>3500</v>
      </c>
      <c r="BL547" s="771">
        <v>9400</v>
      </c>
    </row>
    <row r="548" spans="35:64" x14ac:dyDescent="0.3">
      <c r="AI548" s="763" t="s">
        <v>911</v>
      </c>
      <c r="AJ548" s="764">
        <v>38200</v>
      </c>
      <c r="AK548" s="765">
        <v>855</v>
      </c>
      <c r="AL548" s="765">
        <v>18.2</v>
      </c>
      <c r="AM548" s="765">
        <v>400</v>
      </c>
      <c r="AN548" s="765">
        <v>29.2</v>
      </c>
      <c r="AO548" s="767" t="s">
        <v>912</v>
      </c>
      <c r="AP548" s="767">
        <v>61</v>
      </c>
      <c r="AQ548" s="769">
        <v>31</v>
      </c>
      <c r="AR548" s="766">
        <v>33</v>
      </c>
      <c r="AS548" s="766">
        <v>221</v>
      </c>
      <c r="AT548" s="765">
        <v>329</v>
      </c>
      <c r="AU548" s="767">
        <v>6.19</v>
      </c>
      <c r="AV548" s="768">
        <v>40.5</v>
      </c>
      <c r="AW548" s="765">
        <v>5360</v>
      </c>
      <c r="AX548" s="765">
        <v>12400</v>
      </c>
      <c r="AY548" s="765">
        <v>363</v>
      </c>
      <c r="AZ548" s="765">
        <v>17000</v>
      </c>
      <c r="BA548" s="765">
        <v>430</v>
      </c>
      <c r="BB548" s="765">
        <v>2140</v>
      </c>
      <c r="BC548" s="765">
        <v>92.7</v>
      </c>
      <c r="BD548" s="765">
        <v>3310</v>
      </c>
      <c r="BE548" s="767">
        <v>0.61591421628525433</v>
      </c>
      <c r="BF548" s="768">
        <v>837.1</v>
      </c>
      <c r="BG548" s="765">
        <v>20300</v>
      </c>
      <c r="BH548" s="765">
        <v>75300</v>
      </c>
      <c r="BI548" s="765">
        <v>83900</v>
      </c>
      <c r="BJ548" s="765">
        <v>336</v>
      </c>
      <c r="BK548" s="765">
        <v>3160</v>
      </c>
      <c r="BL548" s="771">
        <v>8450</v>
      </c>
    </row>
    <row r="549" spans="35:64" x14ac:dyDescent="0.3">
      <c r="AI549" s="763" t="s">
        <v>913</v>
      </c>
      <c r="AJ549" s="764">
        <v>31900</v>
      </c>
      <c r="AK549" s="765">
        <v>859</v>
      </c>
      <c r="AL549" s="765">
        <v>17</v>
      </c>
      <c r="AM549" s="765">
        <v>292</v>
      </c>
      <c r="AN549" s="765">
        <v>31</v>
      </c>
      <c r="AO549" s="767" t="s">
        <v>914</v>
      </c>
      <c r="AP549" s="767">
        <v>57</v>
      </c>
      <c r="AQ549" s="770">
        <v>31</v>
      </c>
      <c r="AR549" s="766">
        <v>33</v>
      </c>
      <c r="AS549" s="766">
        <v>201</v>
      </c>
      <c r="AT549" s="765">
        <v>299</v>
      </c>
      <c r="AU549" s="767">
        <v>6.85</v>
      </c>
      <c r="AV549" s="768">
        <v>43.8</v>
      </c>
      <c r="AW549" s="765">
        <v>4800</v>
      </c>
      <c r="AX549" s="765">
        <v>11200</v>
      </c>
      <c r="AY549" s="765">
        <v>359</v>
      </c>
      <c r="AZ549" s="765">
        <v>15400</v>
      </c>
      <c r="BA549" s="765">
        <v>389</v>
      </c>
      <c r="BB549" s="765">
        <v>1930</v>
      </c>
      <c r="BC549" s="765">
        <v>92.1</v>
      </c>
      <c r="BD549" s="765">
        <v>2980</v>
      </c>
      <c r="BE549" s="767">
        <v>0.61359656581112387</v>
      </c>
      <c r="BF549" s="768">
        <v>832.4</v>
      </c>
      <c r="BG549" s="765">
        <v>15100</v>
      </c>
      <c r="BH549" s="765">
        <v>67400</v>
      </c>
      <c r="BI549" s="765">
        <v>83900</v>
      </c>
      <c r="BJ549" s="765">
        <v>301</v>
      </c>
      <c r="BK549" s="765">
        <v>2830</v>
      </c>
      <c r="BL549" s="771">
        <v>7650</v>
      </c>
    </row>
    <row r="550" spans="35:64" x14ac:dyDescent="0.3">
      <c r="AI550" s="763" t="s">
        <v>915</v>
      </c>
      <c r="AJ550" s="764">
        <v>28900</v>
      </c>
      <c r="AK550" s="765">
        <v>851</v>
      </c>
      <c r="AL550" s="765">
        <v>16.100000000000001</v>
      </c>
      <c r="AM550" s="765">
        <v>294</v>
      </c>
      <c r="AN550" s="765">
        <v>26.8</v>
      </c>
      <c r="AO550" s="767" t="s">
        <v>916</v>
      </c>
      <c r="AP550" s="767">
        <v>54</v>
      </c>
      <c r="AQ550" s="769">
        <v>30</v>
      </c>
      <c r="AR550" s="766">
        <v>33</v>
      </c>
      <c r="AS550" s="766">
        <v>169</v>
      </c>
      <c r="AT550" s="765">
        <v>251</v>
      </c>
      <c r="AU550" s="767">
        <v>4.71</v>
      </c>
      <c r="AV550" s="768">
        <v>46.9</v>
      </c>
      <c r="AW550" s="765">
        <v>3860</v>
      </c>
      <c r="AX550" s="765">
        <v>9000</v>
      </c>
      <c r="AY550" s="765">
        <v>357</v>
      </c>
      <c r="AZ550" s="765">
        <v>14000</v>
      </c>
      <c r="BA550" s="765">
        <v>349</v>
      </c>
      <c r="BB550" s="765">
        <v>1740</v>
      </c>
      <c r="BC550" s="765">
        <v>91.1</v>
      </c>
      <c r="BD550" s="765">
        <v>2690</v>
      </c>
      <c r="BE550" s="767">
        <v>0.60748187782999463</v>
      </c>
      <c r="BF550" s="768">
        <v>829.6</v>
      </c>
      <c r="BG550" s="765">
        <v>11600</v>
      </c>
      <c r="BH550" s="765">
        <v>60000</v>
      </c>
      <c r="BI550" s="765">
        <v>83200</v>
      </c>
      <c r="BJ550" s="765">
        <v>270</v>
      </c>
      <c r="BK550" s="765">
        <v>2560</v>
      </c>
      <c r="BL550" s="771">
        <v>6950</v>
      </c>
    </row>
    <row r="551" spans="35:64" x14ac:dyDescent="0.3">
      <c r="AI551" s="763" t="s">
        <v>917</v>
      </c>
      <c r="AJ551" s="764">
        <v>26800</v>
      </c>
      <c r="AK551" s="765">
        <v>846</v>
      </c>
      <c r="AL551" s="765">
        <v>15.4</v>
      </c>
      <c r="AM551" s="765">
        <v>293</v>
      </c>
      <c r="AN551" s="765">
        <v>24.4</v>
      </c>
      <c r="AO551" s="767" t="s">
        <v>918</v>
      </c>
      <c r="AP551" s="767">
        <v>51</v>
      </c>
      <c r="AQ551" s="769">
        <v>29</v>
      </c>
      <c r="AR551" s="766">
        <v>33</v>
      </c>
      <c r="AS551" s="766">
        <v>152</v>
      </c>
      <c r="AT551" s="765">
        <v>226</v>
      </c>
      <c r="AU551" s="767">
        <v>5.49</v>
      </c>
      <c r="AV551" s="768">
        <v>49.5</v>
      </c>
      <c r="AW551" s="765">
        <v>3400</v>
      </c>
      <c r="AX551" s="765">
        <v>7990</v>
      </c>
      <c r="AY551" s="765">
        <v>355</v>
      </c>
      <c r="AZ551" s="765">
        <v>12700</v>
      </c>
      <c r="BA551" s="765">
        <v>312</v>
      </c>
      <c r="BB551" s="765">
        <v>1560</v>
      </c>
      <c r="BC551" s="765">
        <v>90.4</v>
      </c>
      <c r="BD551" s="765">
        <v>2410</v>
      </c>
      <c r="BE551" s="767">
        <v>0.60312529796318282</v>
      </c>
      <c r="BF551" s="768">
        <v>825.8</v>
      </c>
      <c r="BG551" s="765">
        <v>8660</v>
      </c>
      <c r="BH551" s="765">
        <v>53200</v>
      </c>
      <c r="BI551" s="765">
        <v>82600</v>
      </c>
      <c r="BJ551" s="765">
        <v>241</v>
      </c>
      <c r="BK551" s="765">
        <v>2300</v>
      </c>
      <c r="BL551" s="771">
        <v>6270</v>
      </c>
    </row>
    <row r="552" spans="35:64" x14ac:dyDescent="0.3">
      <c r="AI552" s="763" t="s">
        <v>919</v>
      </c>
      <c r="AJ552" s="764">
        <v>24700</v>
      </c>
      <c r="AK552" s="765">
        <v>840</v>
      </c>
      <c r="AL552" s="765">
        <v>14.7</v>
      </c>
      <c r="AM552" s="765">
        <v>292</v>
      </c>
      <c r="AN552" s="765">
        <v>21.7</v>
      </c>
      <c r="AO552" s="767" t="s">
        <v>920</v>
      </c>
      <c r="AP552" s="767">
        <v>53</v>
      </c>
      <c r="AQ552" s="769">
        <v>29</v>
      </c>
      <c r="AR552" s="766">
        <v>33</v>
      </c>
      <c r="AS552" s="766">
        <v>141</v>
      </c>
      <c r="AT552" s="765">
        <v>210</v>
      </c>
      <c r="AU552" s="767">
        <v>6</v>
      </c>
      <c r="AV552" s="768">
        <v>51.8</v>
      </c>
      <c r="AW552" s="765">
        <v>3110</v>
      </c>
      <c r="AX552" s="765">
        <v>7340</v>
      </c>
      <c r="AY552" s="765">
        <v>348</v>
      </c>
      <c r="AZ552" s="765">
        <v>10300</v>
      </c>
      <c r="BA552" s="765">
        <v>129</v>
      </c>
      <c r="BB552" s="765">
        <v>884</v>
      </c>
      <c r="BC552" s="765">
        <v>63.6</v>
      </c>
      <c r="BD552" s="765">
        <v>1380</v>
      </c>
      <c r="BE552" s="767">
        <v>0.43313595986681869</v>
      </c>
      <c r="BF552" s="768">
        <v>828</v>
      </c>
      <c r="BG552" s="765">
        <v>7350</v>
      </c>
      <c r="BH552" s="765">
        <v>22100</v>
      </c>
      <c r="BI552" s="765">
        <v>60400</v>
      </c>
      <c r="BJ552" s="765">
        <v>137</v>
      </c>
      <c r="BK552" s="765">
        <v>1760</v>
      </c>
      <c r="BL552" s="771">
        <v>5100</v>
      </c>
    </row>
    <row r="553" spans="35:64" x14ac:dyDescent="0.3">
      <c r="AI553" s="763" t="s">
        <v>921</v>
      </c>
      <c r="AJ553" s="764">
        <v>22400</v>
      </c>
      <c r="AK553" s="765">
        <v>835</v>
      </c>
      <c r="AL553" s="765">
        <v>14</v>
      </c>
      <c r="AM553" s="765">
        <v>292</v>
      </c>
      <c r="AN553" s="765">
        <v>18.8</v>
      </c>
      <c r="AO553" s="767" t="s">
        <v>922</v>
      </c>
      <c r="AP553" s="767">
        <v>49</v>
      </c>
      <c r="AQ553" s="769">
        <v>28</v>
      </c>
      <c r="AR553" s="766">
        <v>33</v>
      </c>
      <c r="AS553" s="766">
        <v>130</v>
      </c>
      <c r="AT553" s="765">
        <v>193</v>
      </c>
      <c r="AU553" s="767">
        <v>6.73</v>
      </c>
      <c r="AV553" s="768">
        <v>54.2</v>
      </c>
      <c r="AW553" s="765">
        <v>2780</v>
      </c>
      <c r="AX553" s="765">
        <v>6630</v>
      </c>
      <c r="AY553" s="765">
        <v>343</v>
      </c>
      <c r="AZ553" s="765">
        <v>9160</v>
      </c>
      <c r="BA553" s="765">
        <v>114</v>
      </c>
      <c r="BB553" s="765">
        <v>774</v>
      </c>
      <c r="BC553" s="765">
        <v>62.8</v>
      </c>
      <c r="BD553" s="765">
        <v>1210</v>
      </c>
      <c r="BE553" s="767">
        <v>0.43086592612088981</v>
      </c>
      <c r="BF553" s="768">
        <v>824.2</v>
      </c>
      <c r="BG553" s="765">
        <v>5140</v>
      </c>
      <c r="BH553" s="765">
        <v>19300</v>
      </c>
      <c r="BI553" s="765">
        <v>60600</v>
      </c>
      <c r="BJ553" s="765">
        <v>119</v>
      </c>
      <c r="BK553" s="765">
        <v>1530</v>
      </c>
      <c r="BL553" s="771">
        <v>4530</v>
      </c>
    </row>
    <row r="554" spans="35:64" x14ac:dyDescent="0.3">
      <c r="AI554" s="763" t="s">
        <v>923</v>
      </c>
      <c r="AJ554" s="764">
        <v>74300</v>
      </c>
      <c r="AK554" s="765">
        <v>843</v>
      </c>
      <c r="AL554" s="765">
        <v>34.5</v>
      </c>
      <c r="AM554" s="765">
        <v>396</v>
      </c>
      <c r="AN554" s="765">
        <v>62</v>
      </c>
      <c r="AO554" s="767" t="s">
        <v>924</v>
      </c>
      <c r="AP554" s="767">
        <v>46</v>
      </c>
      <c r="AQ554" s="769">
        <v>28</v>
      </c>
      <c r="AR554" s="766">
        <v>33</v>
      </c>
      <c r="AS554" s="766">
        <v>118</v>
      </c>
      <c r="AT554" s="765">
        <v>176</v>
      </c>
      <c r="AU554" s="767">
        <v>7.77</v>
      </c>
      <c r="AV554" s="768">
        <v>57</v>
      </c>
      <c r="AW554" s="765">
        <v>2460</v>
      </c>
      <c r="AX554" s="765">
        <v>5900</v>
      </c>
      <c r="AY554" s="765">
        <v>340</v>
      </c>
      <c r="AZ554" s="765">
        <v>8430</v>
      </c>
      <c r="BA554" s="765">
        <v>103</v>
      </c>
      <c r="BB554" s="765">
        <v>700</v>
      </c>
      <c r="BC554" s="765">
        <v>61.8</v>
      </c>
      <c r="BD554" s="765">
        <v>1100</v>
      </c>
      <c r="BE554" s="767">
        <v>0.42645459868743912</v>
      </c>
      <c r="BF554" s="768">
        <v>821.6</v>
      </c>
      <c r="BG554" s="765">
        <v>4050</v>
      </c>
      <c r="BH554" s="765">
        <v>17300</v>
      </c>
      <c r="BI554" s="765">
        <v>60200</v>
      </c>
      <c r="BJ554" s="765">
        <v>108</v>
      </c>
      <c r="BK554" s="765">
        <v>1390</v>
      </c>
      <c r="BL554" s="771">
        <v>4160</v>
      </c>
    </row>
    <row r="555" spans="35:64" x14ac:dyDescent="0.3">
      <c r="AI555" s="763" t="s">
        <v>925</v>
      </c>
      <c r="AJ555" s="764">
        <v>67700</v>
      </c>
      <c r="AK555" s="765">
        <v>833</v>
      </c>
      <c r="AL555" s="765">
        <v>31.5</v>
      </c>
      <c r="AM555" s="765">
        <v>393</v>
      </c>
      <c r="AN555" s="765">
        <v>56.9</v>
      </c>
      <c r="AO555" s="767" t="s">
        <v>926</v>
      </c>
      <c r="AP555" s="767">
        <v>44</v>
      </c>
      <c r="AQ555" s="769">
        <v>28</v>
      </c>
      <c r="AR555" s="766">
        <v>33</v>
      </c>
      <c r="AS555" s="766">
        <v>391</v>
      </c>
      <c r="AT555" s="765">
        <v>582</v>
      </c>
      <c r="AU555" s="767">
        <v>3.19</v>
      </c>
      <c r="AV555" s="768">
        <v>20.8</v>
      </c>
      <c r="AW555" s="765">
        <v>8620</v>
      </c>
      <c r="AX555" s="765">
        <v>20400</v>
      </c>
      <c r="AY555" s="765">
        <v>336</v>
      </c>
      <c r="AZ555" s="765">
        <v>7620</v>
      </c>
      <c r="BA555" s="765">
        <v>90.3</v>
      </c>
      <c r="BB555" s="765">
        <v>618</v>
      </c>
      <c r="BC555" s="765">
        <v>60.5</v>
      </c>
      <c r="BD555" s="765">
        <v>971</v>
      </c>
      <c r="BE555" s="767">
        <v>0.41967143529157408</v>
      </c>
      <c r="BF555" s="768">
        <v>818.3</v>
      </c>
      <c r="BG555" s="765">
        <v>3050</v>
      </c>
      <c r="BH555" s="765">
        <v>15100</v>
      </c>
      <c r="BI555" s="765">
        <v>59700</v>
      </c>
      <c r="BJ555" s="765">
        <v>94.6</v>
      </c>
      <c r="BK555" s="765">
        <v>1230</v>
      </c>
      <c r="BL555" s="771">
        <v>3760</v>
      </c>
    </row>
    <row r="556" spans="35:64" x14ac:dyDescent="0.3">
      <c r="AI556" s="763" t="s">
        <v>927</v>
      </c>
      <c r="AJ556" s="764">
        <v>61800</v>
      </c>
      <c r="AK556" s="765">
        <v>823</v>
      </c>
      <c r="AL556" s="765">
        <v>29</v>
      </c>
      <c r="AM556" s="765">
        <v>390</v>
      </c>
      <c r="AN556" s="765">
        <v>52.1</v>
      </c>
      <c r="AO556" s="767" t="s">
        <v>928</v>
      </c>
      <c r="AP556" s="767">
        <v>41</v>
      </c>
      <c r="AQ556" s="769">
        <v>27</v>
      </c>
      <c r="AR556" s="766">
        <v>33</v>
      </c>
      <c r="AS556" s="766">
        <v>357</v>
      </c>
      <c r="AT556" s="765">
        <v>531</v>
      </c>
      <c r="AU556" s="767">
        <v>3.45</v>
      </c>
      <c r="AV556" s="768">
        <v>22.8</v>
      </c>
      <c r="AW556" s="765">
        <v>7770</v>
      </c>
      <c r="AX556" s="765">
        <v>18600</v>
      </c>
      <c r="AY556" s="765">
        <v>331</v>
      </c>
      <c r="AZ556" s="765">
        <v>6810</v>
      </c>
      <c r="BA556" s="765">
        <v>78.2</v>
      </c>
      <c r="BB556" s="765">
        <v>536</v>
      </c>
      <c r="BC556" s="765">
        <v>59.1</v>
      </c>
      <c r="BD556" s="765">
        <v>844</v>
      </c>
      <c r="BE556" s="767">
        <v>0.41339147899867451</v>
      </c>
      <c r="BF556" s="768">
        <v>816.2</v>
      </c>
      <c r="BG556" s="765">
        <v>2220</v>
      </c>
      <c r="BH556" s="765">
        <v>13000</v>
      </c>
      <c r="BI556" s="765">
        <v>59600</v>
      </c>
      <c r="BJ556" s="765">
        <v>81.8</v>
      </c>
      <c r="BK556" s="765">
        <v>1070</v>
      </c>
      <c r="BL556" s="771">
        <v>3350</v>
      </c>
    </row>
    <row r="557" spans="35:64" x14ac:dyDescent="0.3">
      <c r="AI557" s="763" t="s">
        <v>929</v>
      </c>
      <c r="AJ557" s="764">
        <v>55300</v>
      </c>
      <c r="AK557" s="765">
        <v>813</v>
      </c>
      <c r="AL557" s="765">
        <v>25.9</v>
      </c>
      <c r="AM557" s="765">
        <v>387</v>
      </c>
      <c r="AN557" s="765">
        <v>47</v>
      </c>
      <c r="AO557" s="767" t="s">
        <v>930</v>
      </c>
      <c r="AP557" s="767">
        <v>84</v>
      </c>
      <c r="AQ557" s="769">
        <v>37</v>
      </c>
      <c r="AR557" s="770">
        <v>30</v>
      </c>
      <c r="AS557" s="766">
        <v>326</v>
      </c>
      <c r="AT557" s="765">
        <v>484</v>
      </c>
      <c r="AU557" s="767">
        <v>3.74</v>
      </c>
      <c r="AV557" s="768">
        <v>24.8</v>
      </c>
      <c r="AW557" s="765">
        <v>6990</v>
      </c>
      <c r="AX557" s="765">
        <v>17000</v>
      </c>
      <c r="AY557" s="765">
        <v>341</v>
      </c>
      <c r="AZ557" s="765">
        <v>23800</v>
      </c>
      <c r="BA557" s="765">
        <v>644</v>
      </c>
      <c r="BB557" s="765">
        <v>3250</v>
      </c>
      <c r="BC557" s="765">
        <v>93.2</v>
      </c>
      <c r="BD557" s="765">
        <v>5080</v>
      </c>
      <c r="BE557" s="767">
        <v>0.62451771579265414</v>
      </c>
      <c r="BF557" s="768">
        <v>781</v>
      </c>
      <c r="BG557" s="765">
        <v>72200</v>
      </c>
      <c r="BH557" s="765">
        <v>98300</v>
      </c>
      <c r="BI557" s="765">
        <v>77300</v>
      </c>
      <c r="BJ557" s="765">
        <v>475</v>
      </c>
      <c r="BK557" s="765">
        <v>4380</v>
      </c>
      <c r="BL557" s="771">
        <v>11800</v>
      </c>
    </row>
    <row r="558" spans="35:64" x14ac:dyDescent="0.3">
      <c r="AI558" s="763" t="s">
        <v>931</v>
      </c>
      <c r="AJ558" s="764">
        <v>49600</v>
      </c>
      <c r="AK558" s="765">
        <v>803</v>
      </c>
      <c r="AL558" s="765">
        <v>23.6</v>
      </c>
      <c r="AM558" s="765">
        <v>385</v>
      </c>
      <c r="AN558" s="765">
        <v>41.9</v>
      </c>
      <c r="AO558" s="767" t="s">
        <v>932</v>
      </c>
      <c r="AP558" s="767">
        <v>78</v>
      </c>
      <c r="AQ558" s="769">
        <v>36</v>
      </c>
      <c r="AR558" s="770">
        <v>30</v>
      </c>
      <c r="AS558" s="766">
        <v>292</v>
      </c>
      <c r="AT558" s="765">
        <v>434</v>
      </c>
      <c r="AU558" s="767">
        <v>4.12</v>
      </c>
      <c r="AV558" s="768">
        <v>27.8</v>
      </c>
      <c r="AW558" s="765">
        <v>6190</v>
      </c>
      <c r="AX558" s="765">
        <v>15200</v>
      </c>
      <c r="AY558" s="765">
        <v>339</v>
      </c>
      <c r="AZ558" s="765">
        <v>21600</v>
      </c>
      <c r="BA558" s="765">
        <v>578</v>
      </c>
      <c r="BB558" s="765">
        <v>2940</v>
      </c>
      <c r="BC558" s="765">
        <v>92.4</v>
      </c>
      <c r="BD558" s="765">
        <v>4580</v>
      </c>
      <c r="BE558" s="767">
        <v>0.61745498416600586</v>
      </c>
      <c r="BF558" s="768">
        <v>776.1</v>
      </c>
      <c r="BG558" s="765">
        <v>55600</v>
      </c>
      <c r="BH558" s="765">
        <v>87000</v>
      </c>
      <c r="BI558" s="765">
        <v>76300</v>
      </c>
      <c r="BJ558" s="765">
        <v>426</v>
      </c>
      <c r="BK558" s="765">
        <v>3990</v>
      </c>
      <c r="BL558" s="771">
        <v>10700</v>
      </c>
    </row>
    <row r="559" spans="35:64" x14ac:dyDescent="0.3">
      <c r="AI559" s="763" t="s">
        <v>933</v>
      </c>
      <c r="AJ559" s="764">
        <v>44600</v>
      </c>
      <c r="AK559" s="765">
        <v>795</v>
      </c>
      <c r="AL559" s="765">
        <v>21.1</v>
      </c>
      <c r="AM559" s="765">
        <v>382</v>
      </c>
      <c r="AN559" s="765">
        <v>38.1</v>
      </c>
      <c r="AO559" s="767" t="s">
        <v>934</v>
      </c>
      <c r="AP559" s="767">
        <v>74</v>
      </c>
      <c r="AQ559" s="769">
        <v>35</v>
      </c>
      <c r="AR559" s="770">
        <v>30</v>
      </c>
      <c r="AS559" s="766">
        <v>261</v>
      </c>
      <c r="AT559" s="765">
        <v>389</v>
      </c>
      <c r="AU559" s="767">
        <v>4.59</v>
      </c>
      <c r="AV559" s="768">
        <v>30.5</v>
      </c>
      <c r="AW559" s="765">
        <v>5450</v>
      </c>
      <c r="AX559" s="765">
        <v>13600</v>
      </c>
      <c r="AY559" s="765">
        <v>336</v>
      </c>
      <c r="AZ559" s="765">
        <v>19500</v>
      </c>
      <c r="BA559" s="765">
        <v>517</v>
      </c>
      <c r="BB559" s="765">
        <v>2650</v>
      </c>
      <c r="BC559" s="765">
        <v>91.4</v>
      </c>
      <c r="BD559" s="765">
        <v>4120</v>
      </c>
      <c r="BE559" s="767">
        <v>0.60881939626696735</v>
      </c>
      <c r="BF559" s="768">
        <v>770.9</v>
      </c>
      <c r="BG559" s="765">
        <v>42800</v>
      </c>
      <c r="BH559" s="765">
        <v>76800</v>
      </c>
      <c r="BI559" s="765">
        <v>75200</v>
      </c>
      <c r="BJ559" s="765">
        <v>382</v>
      </c>
      <c r="BK559" s="765">
        <v>3620</v>
      </c>
      <c r="BL559" s="771">
        <v>9700</v>
      </c>
    </row>
    <row r="560" spans="35:64" x14ac:dyDescent="0.3">
      <c r="AI560" s="763" t="s">
        <v>935</v>
      </c>
      <c r="AJ560" s="764">
        <v>40200</v>
      </c>
      <c r="AK560" s="765">
        <v>786</v>
      </c>
      <c r="AL560" s="765">
        <v>19.7</v>
      </c>
      <c r="AM560" s="765">
        <v>384</v>
      </c>
      <c r="AN560" s="765">
        <v>33.4</v>
      </c>
      <c r="AO560" s="767" t="s">
        <v>936</v>
      </c>
      <c r="AP560" s="767">
        <v>69</v>
      </c>
      <c r="AQ560" s="769">
        <v>33</v>
      </c>
      <c r="AR560" s="770">
        <v>30</v>
      </c>
      <c r="AS560" s="766">
        <v>235</v>
      </c>
      <c r="AT560" s="765">
        <v>350</v>
      </c>
      <c r="AU560" s="767">
        <v>5.01</v>
      </c>
      <c r="AV560" s="768">
        <v>34.1</v>
      </c>
      <c r="AW560" s="765">
        <v>4870</v>
      </c>
      <c r="AX560" s="765">
        <v>12200</v>
      </c>
      <c r="AY560" s="765">
        <v>334</v>
      </c>
      <c r="AZ560" s="765">
        <v>17400</v>
      </c>
      <c r="BA560" s="765">
        <v>455</v>
      </c>
      <c r="BB560" s="765">
        <v>2350</v>
      </c>
      <c r="BC560" s="765">
        <v>90.7</v>
      </c>
      <c r="BD560" s="765">
        <v>3650</v>
      </c>
      <c r="BE560" s="767">
        <v>0.60224772873216947</v>
      </c>
      <c r="BF560" s="768">
        <v>766</v>
      </c>
      <c r="BG560" s="765">
        <v>31300</v>
      </c>
      <c r="BH560" s="765">
        <v>66800</v>
      </c>
      <c r="BI560" s="765">
        <v>74100</v>
      </c>
      <c r="BJ560" s="765">
        <v>337</v>
      </c>
      <c r="BK560" s="765">
        <v>3250</v>
      </c>
      <c r="BL560" s="771">
        <v>8640</v>
      </c>
    </row>
    <row r="561" spans="35:64" x14ac:dyDescent="0.3">
      <c r="AI561" s="763" t="s">
        <v>937</v>
      </c>
      <c r="AJ561" s="764">
        <v>36300</v>
      </c>
      <c r="AK561" s="765">
        <v>779</v>
      </c>
      <c r="AL561" s="765">
        <v>18</v>
      </c>
      <c r="AM561" s="765">
        <v>382</v>
      </c>
      <c r="AN561" s="765">
        <v>30.1</v>
      </c>
      <c r="AO561" s="767" t="s">
        <v>938</v>
      </c>
      <c r="AP561" s="767">
        <v>63</v>
      </c>
      <c r="AQ561" s="769">
        <v>32</v>
      </c>
      <c r="AR561" s="770">
        <v>30</v>
      </c>
      <c r="AS561" s="766">
        <v>211</v>
      </c>
      <c r="AT561" s="765">
        <v>314</v>
      </c>
      <c r="AU561" s="767">
        <v>5.75</v>
      </c>
      <c r="AV561" s="768">
        <v>36.5</v>
      </c>
      <c r="AW561" s="765">
        <v>4290</v>
      </c>
      <c r="AX561" s="765">
        <v>10900</v>
      </c>
      <c r="AY561" s="765">
        <v>332</v>
      </c>
      <c r="AZ561" s="765">
        <v>15500</v>
      </c>
      <c r="BA561" s="765">
        <v>399</v>
      </c>
      <c r="BB561" s="765">
        <v>2070</v>
      </c>
      <c r="BC561" s="765">
        <v>89.8</v>
      </c>
      <c r="BD561" s="765">
        <v>3210</v>
      </c>
      <c r="BE561" s="767">
        <v>0.59423158136844112</v>
      </c>
      <c r="BF561" s="768">
        <v>761.1</v>
      </c>
      <c r="BG561" s="765">
        <v>22500</v>
      </c>
      <c r="BH561" s="765">
        <v>57800</v>
      </c>
      <c r="BI561" s="765">
        <v>73300</v>
      </c>
      <c r="BJ561" s="765">
        <v>295</v>
      </c>
      <c r="BK561" s="765">
        <v>2880</v>
      </c>
      <c r="BL561" s="771">
        <v>7660</v>
      </c>
    </row>
    <row r="562" spans="35:64" x14ac:dyDescent="0.3">
      <c r="AI562" s="763" t="s">
        <v>939</v>
      </c>
      <c r="AJ562" s="764">
        <v>32900</v>
      </c>
      <c r="AK562" s="765">
        <v>773</v>
      </c>
      <c r="AL562" s="765">
        <v>16.600000000000001</v>
      </c>
      <c r="AM562" s="765">
        <v>381</v>
      </c>
      <c r="AN562" s="765">
        <v>27.1</v>
      </c>
      <c r="AO562" s="767" t="s">
        <v>940</v>
      </c>
      <c r="AP562" s="767">
        <v>60</v>
      </c>
      <c r="AQ562" s="769">
        <v>31</v>
      </c>
      <c r="AR562" s="770">
        <v>30</v>
      </c>
      <c r="AS562" s="766">
        <v>191</v>
      </c>
      <c r="AT562" s="765">
        <v>284</v>
      </c>
      <c r="AU562" s="767">
        <v>6.35</v>
      </c>
      <c r="AV562" s="768">
        <v>39.9</v>
      </c>
      <c r="AW562" s="765">
        <v>3830</v>
      </c>
      <c r="AX562" s="765">
        <v>9820</v>
      </c>
      <c r="AY562" s="765">
        <v>330</v>
      </c>
      <c r="AZ562" s="765">
        <v>13900</v>
      </c>
      <c r="BA562" s="765">
        <v>355</v>
      </c>
      <c r="BB562" s="765">
        <v>1860</v>
      </c>
      <c r="BC562" s="765">
        <v>89.1</v>
      </c>
      <c r="BD562" s="765">
        <v>2870</v>
      </c>
      <c r="BE562" s="767">
        <v>0.58998789478868008</v>
      </c>
      <c r="BF562" s="768">
        <v>756.9</v>
      </c>
      <c r="BG562" s="765">
        <v>16800</v>
      </c>
      <c r="BH562" s="765">
        <v>50800</v>
      </c>
      <c r="BI562" s="765">
        <v>72300</v>
      </c>
      <c r="BJ562" s="765">
        <v>263</v>
      </c>
      <c r="BK562" s="765">
        <v>2600</v>
      </c>
      <c r="BL562" s="771">
        <v>6870</v>
      </c>
    </row>
    <row r="563" spans="35:64" x14ac:dyDescent="0.3">
      <c r="AI563" s="763" t="s">
        <v>941</v>
      </c>
      <c r="AJ563" s="764">
        <v>28100</v>
      </c>
      <c r="AK563" s="765">
        <v>779</v>
      </c>
      <c r="AL563" s="765">
        <v>16.5</v>
      </c>
      <c r="AM563" s="773">
        <v>266</v>
      </c>
      <c r="AN563" s="765">
        <v>30</v>
      </c>
      <c r="AO563" s="767" t="s">
        <v>942</v>
      </c>
      <c r="AP563" s="767">
        <v>55</v>
      </c>
      <c r="AQ563" s="765">
        <v>30</v>
      </c>
      <c r="AR563" s="770">
        <v>30</v>
      </c>
      <c r="AS563" s="766">
        <v>173</v>
      </c>
      <c r="AT563" s="765">
        <v>257</v>
      </c>
      <c r="AU563" s="767">
        <v>7.03</v>
      </c>
      <c r="AV563" s="768">
        <v>43.3</v>
      </c>
      <c r="AW563" s="765">
        <v>3430</v>
      </c>
      <c r="AX563" s="765">
        <v>8880</v>
      </c>
      <c r="AY563" s="765">
        <v>327</v>
      </c>
      <c r="AZ563" s="765">
        <v>12300</v>
      </c>
      <c r="BA563" s="765">
        <v>316</v>
      </c>
      <c r="BB563" s="765">
        <v>1640</v>
      </c>
      <c r="BC563" s="765">
        <v>88.7</v>
      </c>
      <c r="BD563" s="765">
        <v>2540</v>
      </c>
      <c r="BE563" s="767">
        <v>0.58719912866651991</v>
      </c>
      <c r="BF563" s="768">
        <v>752.6</v>
      </c>
      <c r="BG563" s="765">
        <v>11800</v>
      </c>
      <c r="BH563" s="765">
        <v>44700</v>
      </c>
      <c r="BI563" s="765">
        <v>72200</v>
      </c>
      <c r="BJ563" s="765">
        <v>232</v>
      </c>
      <c r="BK563" s="765">
        <v>2290</v>
      </c>
      <c r="BL563" s="771">
        <v>6100</v>
      </c>
    </row>
    <row r="564" spans="35:64" x14ac:dyDescent="0.3">
      <c r="AI564" s="763" t="s">
        <v>943</v>
      </c>
      <c r="AJ564" s="764">
        <v>25100</v>
      </c>
      <c r="AK564" s="765">
        <v>770</v>
      </c>
      <c r="AL564" s="765">
        <v>15.6</v>
      </c>
      <c r="AM564" s="773">
        <v>268</v>
      </c>
      <c r="AN564" s="765">
        <v>25.4</v>
      </c>
      <c r="AO564" s="767" t="s">
        <v>944</v>
      </c>
      <c r="AP564" s="767">
        <v>52</v>
      </c>
      <c r="AQ564" s="765">
        <v>29</v>
      </c>
      <c r="AR564" s="770">
        <v>30</v>
      </c>
      <c r="AS564" s="766">
        <v>148</v>
      </c>
      <c r="AT564" s="765">
        <v>220</v>
      </c>
      <c r="AU564" s="767">
        <v>4.43</v>
      </c>
      <c r="AV564" s="768">
        <v>43.6</v>
      </c>
      <c r="AW564" s="765">
        <v>2780</v>
      </c>
      <c r="AX564" s="765">
        <v>7140</v>
      </c>
      <c r="AY564" s="765">
        <v>325</v>
      </c>
      <c r="AZ564" s="765">
        <v>11100</v>
      </c>
      <c r="BA564" s="765">
        <v>280</v>
      </c>
      <c r="BB564" s="765">
        <v>1470</v>
      </c>
      <c r="BC564" s="765">
        <v>87.9</v>
      </c>
      <c r="BD564" s="765">
        <v>2260</v>
      </c>
      <c r="BE564" s="767">
        <v>0.58120842564098896</v>
      </c>
      <c r="BF564" s="768">
        <v>748.9</v>
      </c>
      <c r="BG564" s="765">
        <v>8750</v>
      </c>
      <c r="BH564" s="765">
        <v>39300</v>
      </c>
      <c r="BI564" s="765">
        <v>71500</v>
      </c>
      <c r="BJ564" s="765">
        <v>206</v>
      </c>
      <c r="BK564" s="765">
        <v>2050</v>
      </c>
      <c r="BL564" s="771">
        <v>5470</v>
      </c>
    </row>
    <row r="565" spans="35:64" x14ac:dyDescent="0.3">
      <c r="AI565" s="763" t="s">
        <v>945</v>
      </c>
      <c r="AJ565" s="764">
        <v>23500</v>
      </c>
      <c r="AK565" s="765">
        <v>766</v>
      </c>
      <c r="AL565" s="765">
        <v>14.9</v>
      </c>
      <c r="AM565" s="765">
        <v>267</v>
      </c>
      <c r="AN565" s="765">
        <v>23.6</v>
      </c>
      <c r="AO565" s="767" t="s">
        <v>946</v>
      </c>
      <c r="AP565" s="767">
        <v>49</v>
      </c>
      <c r="AQ565" s="765">
        <v>28</v>
      </c>
      <c r="AR565" s="770">
        <v>30</v>
      </c>
      <c r="AS565" s="766">
        <v>132</v>
      </c>
      <c r="AT565" s="765">
        <v>196</v>
      </c>
      <c r="AU565" s="767">
        <v>5.28</v>
      </c>
      <c r="AV565" s="768">
        <v>46.1</v>
      </c>
      <c r="AW565" s="765">
        <v>2400</v>
      </c>
      <c r="AX565" s="765">
        <v>6240</v>
      </c>
      <c r="AY565" s="765">
        <v>323</v>
      </c>
      <c r="AZ565" s="765">
        <v>9970</v>
      </c>
      <c r="BA565" s="765">
        <v>250</v>
      </c>
      <c r="BB565" s="765">
        <v>1310</v>
      </c>
      <c r="BC565" s="765">
        <v>87.2</v>
      </c>
      <c r="BD565" s="765">
        <v>2020</v>
      </c>
      <c r="BE565" s="767">
        <v>0.57633279151112426</v>
      </c>
      <c r="BF565" s="768">
        <v>745.9</v>
      </c>
      <c r="BG565" s="765">
        <v>6510</v>
      </c>
      <c r="BH565" s="765">
        <v>34800</v>
      </c>
      <c r="BI565" s="765">
        <v>71000</v>
      </c>
      <c r="BJ565" s="765">
        <v>183</v>
      </c>
      <c r="BK565" s="765">
        <v>1840</v>
      </c>
      <c r="BL565" s="771">
        <v>4920</v>
      </c>
    </row>
    <row r="566" spans="35:64" x14ac:dyDescent="0.3">
      <c r="AI566" s="763" t="s">
        <v>947</v>
      </c>
      <c r="AJ566" s="764">
        <v>22100</v>
      </c>
      <c r="AK566" s="765">
        <v>762</v>
      </c>
      <c r="AL566" s="765">
        <v>14.4</v>
      </c>
      <c r="AM566" s="765">
        <v>267</v>
      </c>
      <c r="AN566" s="765">
        <v>21.6</v>
      </c>
      <c r="AO566" s="767" t="s">
        <v>948</v>
      </c>
      <c r="AP566" s="767">
        <v>52</v>
      </c>
      <c r="AQ566" s="765">
        <v>29</v>
      </c>
      <c r="AR566" s="770">
        <v>30</v>
      </c>
      <c r="AS566" s="766">
        <v>124</v>
      </c>
      <c r="AT566" s="765">
        <v>185</v>
      </c>
      <c r="AU566" s="767">
        <v>5.66</v>
      </c>
      <c r="AV566" s="768">
        <v>48.2</v>
      </c>
      <c r="AW566" s="765">
        <v>2230</v>
      </c>
      <c r="AX566" s="765">
        <v>5820</v>
      </c>
      <c r="AY566" s="765">
        <v>315</v>
      </c>
      <c r="AZ566" s="765">
        <v>8190</v>
      </c>
      <c r="BA566" s="765">
        <v>94.4</v>
      </c>
      <c r="BB566" s="765">
        <v>710</v>
      </c>
      <c r="BC566" s="765">
        <v>58</v>
      </c>
      <c r="BD566" s="765">
        <v>1110</v>
      </c>
      <c r="BE566" s="767">
        <v>0.39540064687899579</v>
      </c>
      <c r="BF566" s="768">
        <v>749</v>
      </c>
      <c r="BG566" s="765">
        <v>6050</v>
      </c>
      <c r="BH566" s="765">
        <v>13200</v>
      </c>
      <c r="BI566" s="765">
        <v>49800</v>
      </c>
      <c r="BJ566" s="765">
        <v>99.4</v>
      </c>
      <c r="BK566" s="765">
        <v>1400</v>
      </c>
      <c r="BL566" s="771">
        <v>4050</v>
      </c>
    </row>
    <row r="567" spans="35:64" x14ac:dyDescent="0.3">
      <c r="AI567" s="763" t="s">
        <v>949</v>
      </c>
      <c r="AJ567" s="764">
        <v>20400</v>
      </c>
      <c r="AK567" s="765">
        <v>758</v>
      </c>
      <c r="AL567" s="765">
        <v>13.8</v>
      </c>
      <c r="AM567" s="765">
        <v>266</v>
      </c>
      <c r="AN567" s="765">
        <v>19.3</v>
      </c>
      <c r="AO567" s="767" t="s">
        <v>950</v>
      </c>
      <c r="AP567" s="767">
        <v>47</v>
      </c>
      <c r="AQ567" s="765">
        <v>28</v>
      </c>
      <c r="AR567" s="770">
        <v>30</v>
      </c>
      <c r="AS567" s="766">
        <v>116</v>
      </c>
      <c r="AT567" s="765">
        <v>173</v>
      </c>
      <c r="AU567" s="767">
        <v>6.18</v>
      </c>
      <c r="AV567" s="768">
        <v>49.9</v>
      </c>
      <c r="AW567" s="765">
        <v>2060</v>
      </c>
      <c r="AX567" s="765">
        <v>5400</v>
      </c>
      <c r="AY567" s="765">
        <v>309</v>
      </c>
      <c r="AZ567" s="765">
        <v>7170</v>
      </c>
      <c r="BA567" s="765">
        <v>81.7</v>
      </c>
      <c r="BB567" s="765">
        <v>610</v>
      </c>
      <c r="BC567" s="765">
        <v>57.1</v>
      </c>
      <c r="BD567" s="765">
        <v>959</v>
      </c>
      <c r="BE567" s="767">
        <v>0.39240346186648062</v>
      </c>
      <c r="BF567" s="768">
        <v>744.6</v>
      </c>
      <c r="BG567" s="765">
        <v>4040</v>
      </c>
      <c r="BH567" s="765">
        <v>11300</v>
      </c>
      <c r="BI567" s="765">
        <v>49900</v>
      </c>
      <c r="BJ567" s="765">
        <v>84.9</v>
      </c>
      <c r="BK567" s="765">
        <v>1190</v>
      </c>
      <c r="BL567" s="771">
        <v>3540</v>
      </c>
    </row>
    <row r="568" spans="35:64" x14ac:dyDescent="0.3">
      <c r="AI568" s="763" t="s">
        <v>951</v>
      </c>
      <c r="AJ568" s="764">
        <v>18700</v>
      </c>
      <c r="AK568" s="765">
        <v>753</v>
      </c>
      <c r="AL568" s="765">
        <v>13.2</v>
      </c>
      <c r="AM568" s="765">
        <v>265</v>
      </c>
      <c r="AN568" s="765">
        <v>17</v>
      </c>
      <c r="AO568" s="767" t="s">
        <v>952</v>
      </c>
      <c r="AP568" s="767">
        <v>45</v>
      </c>
      <c r="AQ568" s="765">
        <v>28</v>
      </c>
      <c r="AR568" s="770">
        <v>30</v>
      </c>
      <c r="AS568" s="766">
        <v>108</v>
      </c>
      <c r="AT568" s="765">
        <v>161</v>
      </c>
      <c r="AU568" s="767">
        <v>6.89</v>
      </c>
      <c r="AV568" s="768">
        <v>52.1</v>
      </c>
      <c r="AW568" s="765">
        <v>1860</v>
      </c>
      <c r="AX568" s="765">
        <v>4900</v>
      </c>
      <c r="AY568" s="765">
        <v>308</v>
      </c>
      <c r="AZ568" s="765">
        <v>6690</v>
      </c>
      <c r="BA568" s="765">
        <v>75.099999999999994</v>
      </c>
      <c r="BB568" s="765">
        <v>563</v>
      </c>
      <c r="BC568" s="765">
        <v>56.5</v>
      </c>
      <c r="BD568" s="765">
        <v>884</v>
      </c>
      <c r="BE568" s="767">
        <v>0.38873871800617871</v>
      </c>
      <c r="BF568" s="768">
        <v>742.4</v>
      </c>
      <c r="BG568" s="765">
        <v>3330</v>
      </c>
      <c r="BH568" s="765">
        <v>10300</v>
      </c>
      <c r="BI568" s="765">
        <v>49600</v>
      </c>
      <c r="BJ568" s="765">
        <v>78.099999999999994</v>
      </c>
      <c r="BK568" s="765">
        <v>1100</v>
      </c>
      <c r="BL568" s="771">
        <v>3300</v>
      </c>
    </row>
    <row r="569" spans="35:64" x14ac:dyDescent="0.3">
      <c r="AI569" s="763" t="s">
        <v>953</v>
      </c>
      <c r="AJ569" s="764">
        <v>17000</v>
      </c>
      <c r="AK569" s="765">
        <v>750</v>
      </c>
      <c r="AL569" s="765">
        <v>11.9</v>
      </c>
      <c r="AM569" s="765">
        <v>264</v>
      </c>
      <c r="AN569" s="765">
        <v>15.5</v>
      </c>
      <c r="AO569" s="767" t="s">
        <v>954</v>
      </c>
      <c r="AP569" s="767">
        <v>43</v>
      </c>
      <c r="AQ569" s="769">
        <v>28</v>
      </c>
      <c r="AR569" s="770">
        <v>30</v>
      </c>
      <c r="AS569" s="766">
        <v>99</v>
      </c>
      <c r="AT569" s="768">
        <v>147</v>
      </c>
      <c r="AU569" s="767">
        <v>7.79</v>
      </c>
      <c r="AV569" s="768">
        <v>54.5</v>
      </c>
      <c r="AW569" s="765">
        <v>1660</v>
      </c>
      <c r="AX569" s="765">
        <v>4410</v>
      </c>
      <c r="AY569" s="765">
        <v>305</v>
      </c>
      <c r="AZ569" s="765">
        <v>6210</v>
      </c>
      <c r="BA569" s="765">
        <v>68.7</v>
      </c>
      <c r="BB569" s="765">
        <v>515</v>
      </c>
      <c r="BC569" s="765">
        <v>55.7</v>
      </c>
      <c r="BD569" s="765">
        <v>810</v>
      </c>
      <c r="BE569" s="767">
        <v>0.38597131545300939</v>
      </c>
      <c r="BF569" s="768">
        <v>740.4</v>
      </c>
      <c r="BG569" s="765">
        <v>2690</v>
      </c>
      <c r="BH569" s="765">
        <v>9420</v>
      </c>
      <c r="BI569" s="765">
        <v>49400</v>
      </c>
      <c r="BJ569" s="765">
        <v>71.3</v>
      </c>
      <c r="BK569" s="765">
        <v>1010</v>
      </c>
      <c r="BL569" s="771">
        <v>3070</v>
      </c>
    </row>
    <row r="570" spans="35:64" x14ac:dyDescent="0.3">
      <c r="AI570" s="763" t="s">
        <v>955</v>
      </c>
      <c r="AJ570" s="764">
        <v>102000</v>
      </c>
      <c r="AK570" s="765">
        <v>826</v>
      </c>
      <c r="AL570" s="765">
        <v>50</v>
      </c>
      <c r="AM570" s="765">
        <v>387</v>
      </c>
      <c r="AN570" s="765">
        <v>89.9</v>
      </c>
      <c r="AO570" s="767" t="s">
        <v>956</v>
      </c>
      <c r="AP570" s="767">
        <v>41</v>
      </c>
      <c r="AQ570" s="769">
        <v>27</v>
      </c>
      <c r="AR570" s="770">
        <v>30</v>
      </c>
      <c r="AS570" s="766">
        <v>90</v>
      </c>
      <c r="AT570" s="768">
        <v>134</v>
      </c>
      <c r="AU570" s="767">
        <v>8.52</v>
      </c>
      <c r="AV570" s="768">
        <v>60.4</v>
      </c>
      <c r="AW570" s="765">
        <v>1500</v>
      </c>
      <c r="AX570" s="765">
        <v>4010</v>
      </c>
      <c r="AY570" s="765">
        <v>302</v>
      </c>
      <c r="AZ570" s="765">
        <v>5660</v>
      </c>
      <c r="BA570" s="765">
        <v>60.7</v>
      </c>
      <c r="BB570" s="765">
        <v>457</v>
      </c>
      <c r="BC570" s="765">
        <v>54.5</v>
      </c>
      <c r="BD570" s="765">
        <v>720</v>
      </c>
      <c r="BE570" s="767">
        <v>0.380370403225126</v>
      </c>
      <c r="BF570" s="768">
        <v>738.7</v>
      </c>
      <c r="BG570" s="765">
        <v>2070</v>
      </c>
      <c r="BH570" s="765">
        <v>8280</v>
      </c>
      <c r="BI570" s="765">
        <v>49100</v>
      </c>
      <c r="BJ570" s="765">
        <v>63</v>
      </c>
      <c r="BK570" s="765">
        <v>899</v>
      </c>
      <c r="BL570" s="771">
        <v>2790</v>
      </c>
    </row>
    <row r="571" spans="35:64" x14ac:dyDescent="0.3">
      <c r="AI571" s="763" t="s">
        <v>957</v>
      </c>
      <c r="AJ571" s="764">
        <v>69900</v>
      </c>
      <c r="AK571" s="765">
        <v>772</v>
      </c>
      <c r="AL571" s="765">
        <v>35.1</v>
      </c>
      <c r="AM571" s="765">
        <v>372</v>
      </c>
      <c r="AN571" s="765">
        <v>63</v>
      </c>
      <c r="AO571" s="767" t="s">
        <v>958</v>
      </c>
      <c r="AP571" s="767">
        <v>39</v>
      </c>
      <c r="AQ571" s="772">
        <v>27</v>
      </c>
      <c r="AR571" s="770">
        <v>30</v>
      </c>
      <c r="AS571" s="766">
        <v>539</v>
      </c>
      <c r="AT571" s="765">
        <v>802</v>
      </c>
      <c r="AU571" s="767">
        <v>2.15</v>
      </c>
      <c r="AV571" s="768">
        <v>12.9</v>
      </c>
      <c r="AW571" s="765">
        <v>10600</v>
      </c>
      <c r="AX571" s="765">
        <v>25700</v>
      </c>
      <c r="AY571" s="765">
        <v>298</v>
      </c>
      <c r="AZ571" s="765">
        <v>5100</v>
      </c>
      <c r="BA571" s="765">
        <v>52.9</v>
      </c>
      <c r="BB571" s="765">
        <v>399</v>
      </c>
      <c r="BC571" s="765">
        <v>53.1</v>
      </c>
      <c r="BD571" s="765">
        <v>631</v>
      </c>
      <c r="BE571" s="767">
        <v>0.37357076250265181</v>
      </c>
      <c r="BF571" s="768">
        <v>736</v>
      </c>
      <c r="BG571" s="765">
        <v>1560</v>
      </c>
      <c r="BH571" s="765">
        <v>7160</v>
      </c>
      <c r="BI571" s="765">
        <v>48800</v>
      </c>
      <c r="BJ571" s="765">
        <v>54.9</v>
      </c>
      <c r="BK571" s="765">
        <v>788</v>
      </c>
      <c r="BL571" s="771">
        <v>2510</v>
      </c>
    </row>
    <row r="572" spans="35:64" x14ac:dyDescent="0.3">
      <c r="AI572" s="763" t="s">
        <v>959</v>
      </c>
      <c r="AJ572" s="764">
        <v>63800</v>
      </c>
      <c r="AK572" s="765">
        <v>762</v>
      </c>
      <c r="AL572" s="765">
        <v>32</v>
      </c>
      <c r="AM572" s="765">
        <v>369</v>
      </c>
      <c r="AN572" s="765">
        <v>57.9</v>
      </c>
      <c r="AO572" s="767" t="s">
        <v>960</v>
      </c>
      <c r="AP572" s="767">
        <v>37</v>
      </c>
      <c r="AQ572" s="769">
        <v>26</v>
      </c>
      <c r="AR572" s="770">
        <v>30</v>
      </c>
      <c r="AS572" s="766">
        <v>368</v>
      </c>
      <c r="AT572" s="765">
        <v>548</v>
      </c>
      <c r="AU572" s="767">
        <v>2.95</v>
      </c>
      <c r="AV572" s="768">
        <v>18.399999999999999</v>
      </c>
      <c r="AW572" s="765">
        <v>6730</v>
      </c>
      <c r="AX572" s="765">
        <v>17400</v>
      </c>
      <c r="AY572" s="765">
        <v>297</v>
      </c>
      <c r="AZ572" s="765">
        <v>4630</v>
      </c>
      <c r="BA572" s="765">
        <v>47.7</v>
      </c>
      <c r="BB572" s="765">
        <v>361</v>
      </c>
      <c r="BC572" s="765">
        <v>53</v>
      </c>
      <c r="BD572" s="765">
        <v>568</v>
      </c>
      <c r="BE572" s="767">
        <v>0.37162947487321751</v>
      </c>
      <c r="BF572" s="768">
        <v>734.5</v>
      </c>
      <c r="BG572" s="765">
        <v>1180</v>
      </c>
      <c r="BH572" s="765">
        <v>6430</v>
      </c>
      <c r="BI572" s="765">
        <v>48500</v>
      </c>
      <c r="BJ572" s="765">
        <v>49.6</v>
      </c>
      <c r="BK572" s="765">
        <v>718</v>
      </c>
      <c r="BL572" s="771">
        <v>2270</v>
      </c>
    </row>
    <row r="573" spans="35:64" x14ac:dyDescent="0.3">
      <c r="AI573" s="763" t="s">
        <v>961</v>
      </c>
      <c r="AJ573" s="764">
        <v>58400</v>
      </c>
      <c r="AK573" s="765">
        <v>752</v>
      </c>
      <c r="AL573" s="765">
        <v>29.5</v>
      </c>
      <c r="AM573" s="765">
        <v>367</v>
      </c>
      <c r="AN573" s="765">
        <v>53.1</v>
      </c>
      <c r="AO573" s="767" t="s">
        <v>962</v>
      </c>
      <c r="AP573" s="767">
        <v>112</v>
      </c>
      <c r="AQ573" s="769">
        <v>45</v>
      </c>
      <c r="AR573" s="770">
        <v>27</v>
      </c>
      <c r="AS573" s="766">
        <v>336</v>
      </c>
      <c r="AT573" s="765">
        <v>500</v>
      </c>
      <c r="AU573" s="767">
        <v>3.19</v>
      </c>
      <c r="AV573" s="768">
        <v>20.2</v>
      </c>
      <c r="AW573" s="765">
        <v>6060</v>
      </c>
      <c r="AX573" s="765">
        <v>15900</v>
      </c>
      <c r="AY573" s="765">
        <v>322</v>
      </c>
      <c r="AZ573" s="765">
        <v>30900</v>
      </c>
      <c r="BA573" s="765">
        <v>875</v>
      </c>
      <c r="BB573" s="765">
        <v>4520</v>
      </c>
      <c r="BC573" s="765">
        <v>92.5</v>
      </c>
      <c r="BD573" s="765">
        <v>7150</v>
      </c>
      <c r="BE573" s="767">
        <v>0.63011844405639295</v>
      </c>
      <c r="BF573" s="768">
        <v>736.1</v>
      </c>
      <c r="BG573" s="765">
        <v>206000</v>
      </c>
      <c r="BH573" s="765">
        <v>119000</v>
      </c>
      <c r="BI573" s="765">
        <v>71200</v>
      </c>
      <c r="BJ573" s="765">
        <v>619</v>
      </c>
      <c r="BK573" s="765">
        <v>5580</v>
      </c>
      <c r="BL573" s="771">
        <v>15400</v>
      </c>
    </row>
    <row r="574" spans="35:64" x14ac:dyDescent="0.3">
      <c r="AI574" s="763" t="s">
        <v>963</v>
      </c>
      <c r="AJ574" s="764">
        <v>53400</v>
      </c>
      <c r="AK574" s="765">
        <v>744</v>
      </c>
      <c r="AL574" s="765">
        <v>26.9</v>
      </c>
      <c r="AM574" s="765">
        <v>364</v>
      </c>
      <c r="AN574" s="765">
        <v>49</v>
      </c>
      <c r="AO574" s="767" t="s">
        <v>964</v>
      </c>
      <c r="AP574" s="767">
        <v>85</v>
      </c>
      <c r="AQ574" s="769">
        <v>38</v>
      </c>
      <c r="AR574" s="770">
        <v>27</v>
      </c>
      <c r="AS574" s="766">
        <v>307</v>
      </c>
      <c r="AT574" s="765">
        <v>457</v>
      </c>
      <c r="AU574" s="767">
        <v>3.46</v>
      </c>
      <c r="AV574" s="768">
        <v>21.9</v>
      </c>
      <c r="AW574" s="765">
        <v>5470</v>
      </c>
      <c r="AX574" s="765">
        <v>14500</v>
      </c>
      <c r="AY574" s="765">
        <v>310</v>
      </c>
      <c r="AZ574" s="765">
        <v>20400</v>
      </c>
      <c r="BA574" s="765">
        <v>543</v>
      </c>
      <c r="BB574" s="765">
        <v>2920</v>
      </c>
      <c r="BC574" s="765">
        <v>88.1</v>
      </c>
      <c r="BD574" s="765">
        <v>4570</v>
      </c>
      <c r="BE574" s="767">
        <v>0.5913865280045677</v>
      </c>
      <c r="BF574" s="768">
        <v>709</v>
      </c>
      <c r="BG574" s="765">
        <v>70700</v>
      </c>
      <c r="BH574" s="765">
        <v>68200</v>
      </c>
      <c r="BI574" s="765">
        <v>65900</v>
      </c>
      <c r="BJ574" s="765">
        <v>386</v>
      </c>
      <c r="BK574" s="765">
        <v>3760</v>
      </c>
      <c r="BL574" s="771">
        <v>10100</v>
      </c>
    </row>
    <row r="575" spans="35:64" x14ac:dyDescent="0.3">
      <c r="AI575" s="763" t="s">
        <v>965</v>
      </c>
      <c r="AJ575" s="764">
        <v>49000</v>
      </c>
      <c r="AK575" s="765">
        <v>736</v>
      </c>
      <c r="AL575" s="765">
        <v>24.9</v>
      </c>
      <c r="AM575" s="765">
        <v>362</v>
      </c>
      <c r="AN575" s="765">
        <v>45</v>
      </c>
      <c r="AO575" s="767" t="s">
        <v>966</v>
      </c>
      <c r="AP575" s="767">
        <v>80</v>
      </c>
      <c r="AQ575" s="769">
        <v>36</v>
      </c>
      <c r="AR575" s="770">
        <v>27</v>
      </c>
      <c r="AS575" s="766">
        <v>281</v>
      </c>
      <c r="AT575" s="765">
        <v>419</v>
      </c>
      <c r="AU575" s="767">
        <v>3.71</v>
      </c>
      <c r="AV575" s="768">
        <v>24</v>
      </c>
      <c r="AW575" s="765">
        <v>4950</v>
      </c>
      <c r="AX575" s="765">
        <v>13300</v>
      </c>
      <c r="AY575" s="765">
        <v>308</v>
      </c>
      <c r="AZ575" s="765">
        <v>18500</v>
      </c>
      <c r="BA575" s="765">
        <v>487</v>
      </c>
      <c r="BB575" s="765">
        <v>2640</v>
      </c>
      <c r="BC575" s="765">
        <v>87.4</v>
      </c>
      <c r="BD575" s="765">
        <v>4110</v>
      </c>
      <c r="BE575" s="767">
        <v>0.58379854219917648</v>
      </c>
      <c r="BF575" s="768">
        <v>704.1</v>
      </c>
      <c r="BG575" s="765">
        <v>54600</v>
      </c>
      <c r="BH575" s="765">
        <v>60300</v>
      </c>
      <c r="BI575" s="765">
        <v>65000</v>
      </c>
      <c r="BJ575" s="765">
        <v>347</v>
      </c>
      <c r="BK575" s="765">
        <v>3430</v>
      </c>
      <c r="BL575" s="771">
        <v>9190</v>
      </c>
    </row>
    <row r="576" spans="35:64" x14ac:dyDescent="0.3">
      <c r="AI576" s="763" t="s">
        <v>967</v>
      </c>
      <c r="AJ576" s="764">
        <v>44700</v>
      </c>
      <c r="AK576" s="765">
        <v>728</v>
      </c>
      <c r="AL576" s="765">
        <v>23.1</v>
      </c>
      <c r="AM576" s="765">
        <v>360</v>
      </c>
      <c r="AN576" s="765">
        <v>40.9</v>
      </c>
      <c r="AO576" s="767" t="s">
        <v>968</v>
      </c>
      <c r="AP576" s="767">
        <v>75</v>
      </c>
      <c r="AQ576" s="769">
        <v>35</v>
      </c>
      <c r="AR576" s="770">
        <v>27</v>
      </c>
      <c r="AS576" s="766">
        <v>258</v>
      </c>
      <c r="AT576" s="765">
        <v>384</v>
      </c>
      <c r="AU576" s="767">
        <v>4.0199999999999996</v>
      </c>
      <c r="AV576" s="768">
        <v>25.9</v>
      </c>
      <c r="AW576" s="765">
        <v>4490</v>
      </c>
      <c r="AX576" s="765">
        <v>12200</v>
      </c>
      <c r="AY576" s="765">
        <v>306</v>
      </c>
      <c r="AZ576" s="765">
        <v>16800</v>
      </c>
      <c r="BA576" s="765">
        <v>439</v>
      </c>
      <c r="BB576" s="765">
        <v>2390</v>
      </c>
      <c r="BC576" s="765">
        <v>86.7</v>
      </c>
      <c r="BD576" s="765">
        <v>3720</v>
      </c>
      <c r="BE576" s="767">
        <v>0.57839339700406722</v>
      </c>
      <c r="BF576" s="768">
        <v>698.9</v>
      </c>
      <c r="BG576" s="765">
        <v>42300</v>
      </c>
      <c r="BH576" s="765">
        <v>53600</v>
      </c>
      <c r="BI576" s="765">
        <v>64100</v>
      </c>
      <c r="BJ576" s="765">
        <v>312</v>
      </c>
      <c r="BK576" s="765">
        <v>3130</v>
      </c>
      <c r="BL576" s="771">
        <v>8350</v>
      </c>
    </row>
    <row r="577" spans="35:64" x14ac:dyDescent="0.3">
      <c r="AI577" s="763" t="s">
        <v>969</v>
      </c>
      <c r="AJ577" s="764">
        <v>41300</v>
      </c>
      <c r="AK577" s="765">
        <v>722</v>
      </c>
      <c r="AL577" s="765">
        <v>21.1</v>
      </c>
      <c r="AM577" s="765">
        <v>359</v>
      </c>
      <c r="AN577" s="765">
        <v>38.1</v>
      </c>
      <c r="AO577" s="767" t="s">
        <v>970</v>
      </c>
      <c r="AP577" s="767">
        <v>71</v>
      </c>
      <c r="AQ577" s="769">
        <v>34</v>
      </c>
      <c r="AR577" s="770">
        <v>27</v>
      </c>
      <c r="AS577" s="766">
        <v>235</v>
      </c>
      <c r="AT577" s="765">
        <v>350</v>
      </c>
      <c r="AU577" s="767">
        <v>4.4000000000000004</v>
      </c>
      <c r="AV577" s="768">
        <v>28</v>
      </c>
      <c r="AW577" s="765">
        <v>4030</v>
      </c>
      <c r="AX577" s="765">
        <v>11100</v>
      </c>
      <c r="AY577" s="765">
        <v>305</v>
      </c>
      <c r="AZ577" s="765">
        <v>15300</v>
      </c>
      <c r="BA577" s="765">
        <v>395</v>
      </c>
      <c r="BB577" s="765">
        <v>2170</v>
      </c>
      <c r="BC577" s="765">
        <v>86</v>
      </c>
      <c r="BD577" s="765">
        <v>3370</v>
      </c>
      <c r="BE577" s="767">
        <v>0.57128529869270284</v>
      </c>
      <c r="BF577" s="768">
        <v>695</v>
      </c>
      <c r="BG577" s="765">
        <v>33000</v>
      </c>
      <c r="BH577" s="765">
        <v>47700</v>
      </c>
      <c r="BI577" s="765">
        <v>63200</v>
      </c>
      <c r="BJ577" s="765">
        <v>282</v>
      </c>
      <c r="BK577" s="765">
        <v>2870</v>
      </c>
      <c r="BL577" s="771">
        <v>7600</v>
      </c>
    </row>
    <row r="578" spans="35:64" x14ac:dyDescent="0.3">
      <c r="AI578" s="763" t="s">
        <v>971</v>
      </c>
      <c r="AJ578" s="764">
        <v>36800</v>
      </c>
      <c r="AK578" s="765">
        <v>714</v>
      </c>
      <c r="AL578" s="765">
        <v>19</v>
      </c>
      <c r="AM578" s="765">
        <v>356</v>
      </c>
      <c r="AN578" s="765">
        <v>34</v>
      </c>
      <c r="AO578" s="767" t="s">
        <v>972</v>
      </c>
      <c r="AP578" s="767">
        <v>67</v>
      </c>
      <c r="AQ578" s="769">
        <v>33</v>
      </c>
      <c r="AR578" s="770">
        <v>27</v>
      </c>
      <c r="AS578" s="766">
        <v>217</v>
      </c>
      <c r="AT578" s="765">
        <v>323</v>
      </c>
      <c r="AU578" s="767">
        <v>4.71</v>
      </c>
      <c r="AV578" s="768">
        <v>30.6</v>
      </c>
      <c r="AW578" s="765">
        <v>3710</v>
      </c>
      <c r="AX578" s="765">
        <v>10300</v>
      </c>
      <c r="AY578" s="765">
        <v>303</v>
      </c>
      <c r="AZ578" s="765">
        <v>14000</v>
      </c>
      <c r="BA578" s="765">
        <v>357</v>
      </c>
      <c r="BB578" s="765">
        <v>1970</v>
      </c>
      <c r="BC578" s="765">
        <v>85.3</v>
      </c>
      <c r="BD578" s="765">
        <v>3050</v>
      </c>
      <c r="BE578" s="767">
        <v>0.56537882439755249</v>
      </c>
      <c r="BF578" s="768">
        <v>691</v>
      </c>
      <c r="BG578" s="765">
        <v>25700</v>
      </c>
      <c r="BH578" s="765">
        <v>42600</v>
      </c>
      <c r="BI578" s="765">
        <v>62500</v>
      </c>
      <c r="BJ578" s="765">
        <v>255</v>
      </c>
      <c r="BK578" s="765">
        <v>2620</v>
      </c>
      <c r="BL578" s="771">
        <v>6930</v>
      </c>
    </row>
    <row r="579" spans="35:64" x14ac:dyDescent="0.3">
      <c r="AI579" s="763" t="s">
        <v>973</v>
      </c>
      <c r="AJ579" s="764">
        <v>33800</v>
      </c>
      <c r="AK579" s="765">
        <v>706</v>
      </c>
      <c r="AL579" s="765">
        <v>18.399999999999999</v>
      </c>
      <c r="AM579" s="765">
        <v>358</v>
      </c>
      <c r="AN579" s="765">
        <v>30.2</v>
      </c>
      <c r="AO579" s="767" t="s">
        <v>974</v>
      </c>
      <c r="AP579" s="767">
        <v>63</v>
      </c>
      <c r="AQ579" s="772">
        <v>32</v>
      </c>
      <c r="AR579" s="770">
        <v>27</v>
      </c>
      <c r="AS579" s="766">
        <v>194</v>
      </c>
      <c r="AT579" s="765">
        <v>289</v>
      </c>
      <c r="AU579" s="767">
        <v>5.24</v>
      </c>
      <c r="AV579" s="768">
        <v>34</v>
      </c>
      <c r="AW579" s="765">
        <v>3260</v>
      </c>
      <c r="AX579" s="765">
        <v>9140</v>
      </c>
      <c r="AY579" s="765">
        <v>300</v>
      </c>
      <c r="AZ579" s="765">
        <v>12600</v>
      </c>
      <c r="BA579" s="765">
        <v>319</v>
      </c>
      <c r="BB579" s="765">
        <v>1770</v>
      </c>
      <c r="BC579" s="765">
        <v>84.4</v>
      </c>
      <c r="BD579" s="765">
        <v>2740</v>
      </c>
      <c r="BE579" s="767">
        <v>0.55857712013524929</v>
      </c>
      <c r="BF579" s="768">
        <v>687.1</v>
      </c>
      <c r="BG579" s="765">
        <v>19500</v>
      </c>
      <c r="BH579" s="765">
        <v>37600</v>
      </c>
      <c r="BI579" s="765">
        <v>61800</v>
      </c>
      <c r="BJ579" s="765">
        <v>228</v>
      </c>
      <c r="BK579" s="765">
        <v>2370</v>
      </c>
      <c r="BL579" s="771">
        <v>6260</v>
      </c>
    </row>
    <row r="580" spans="35:64" x14ac:dyDescent="0.3">
      <c r="AI580" s="763" t="s">
        <v>975</v>
      </c>
      <c r="AJ580" s="764">
        <v>30700</v>
      </c>
      <c r="AK580" s="765">
        <v>701</v>
      </c>
      <c r="AL580" s="765">
        <v>16.8</v>
      </c>
      <c r="AM580" s="773">
        <v>356</v>
      </c>
      <c r="AN580" s="765">
        <v>27.4</v>
      </c>
      <c r="AO580" s="767" t="s">
        <v>976</v>
      </c>
      <c r="AP580" s="767">
        <v>60</v>
      </c>
      <c r="AQ580" s="769">
        <v>31</v>
      </c>
      <c r="AR580" s="770">
        <v>27</v>
      </c>
      <c r="AS580" s="766">
        <v>178</v>
      </c>
      <c r="AT580" s="765">
        <v>265</v>
      </c>
      <c r="AU580" s="767">
        <v>5.93</v>
      </c>
      <c r="AV580" s="768">
        <v>35.1</v>
      </c>
      <c r="AW580" s="765">
        <v>2920</v>
      </c>
      <c r="AX580" s="765">
        <v>8270</v>
      </c>
      <c r="AY580" s="765">
        <v>300</v>
      </c>
      <c r="AZ580" s="765">
        <v>11700</v>
      </c>
      <c r="BA580" s="765">
        <v>294</v>
      </c>
      <c r="BB580" s="765">
        <v>1640</v>
      </c>
      <c r="BC580" s="765">
        <v>84.4</v>
      </c>
      <c r="BD580" s="765">
        <v>2530</v>
      </c>
      <c r="BE580" s="767">
        <v>0.55565833198791115</v>
      </c>
      <c r="BF580" s="768">
        <v>683.9</v>
      </c>
      <c r="BG580" s="765">
        <v>15700</v>
      </c>
      <c r="BH580" s="765">
        <v>34400</v>
      </c>
      <c r="BI580" s="765">
        <v>61400</v>
      </c>
      <c r="BJ580" s="765">
        <v>210</v>
      </c>
      <c r="BK580" s="765">
        <v>2200</v>
      </c>
      <c r="BL580" s="771">
        <v>5780</v>
      </c>
    </row>
    <row r="581" spans="35:64" x14ac:dyDescent="0.3">
      <c r="AI581" s="763" t="s">
        <v>977</v>
      </c>
      <c r="AJ581" s="764">
        <v>27900</v>
      </c>
      <c r="AK581" s="765">
        <v>695</v>
      </c>
      <c r="AL581" s="765">
        <v>15.4</v>
      </c>
      <c r="AM581" s="773">
        <v>355</v>
      </c>
      <c r="AN581" s="765">
        <v>24.8</v>
      </c>
      <c r="AO581" s="767" t="s">
        <v>978</v>
      </c>
      <c r="AP581" s="767">
        <v>56</v>
      </c>
      <c r="AQ581" s="765">
        <v>30</v>
      </c>
      <c r="AR581" s="770">
        <v>27</v>
      </c>
      <c r="AS581" s="766">
        <v>161</v>
      </c>
      <c r="AT581" s="765">
        <v>240</v>
      </c>
      <c r="AU581" s="767">
        <v>6.5</v>
      </c>
      <c r="AV581" s="768">
        <v>38.5</v>
      </c>
      <c r="AW581" s="765">
        <v>2630</v>
      </c>
      <c r="AX581" s="765">
        <v>7490</v>
      </c>
      <c r="AY581" s="765">
        <v>298</v>
      </c>
      <c r="AZ581" s="765">
        <v>10300</v>
      </c>
      <c r="BA581" s="765">
        <v>256</v>
      </c>
      <c r="BB581" s="765">
        <v>1440</v>
      </c>
      <c r="BC581" s="765">
        <v>83.4</v>
      </c>
      <c r="BD581" s="765">
        <v>2220</v>
      </c>
      <c r="BE581" s="767">
        <v>0.54879458970617623</v>
      </c>
      <c r="BF581" s="768">
        <v>680</v>
      </c>
      <c r="BG581" s="765">
        <v>11200</v>
      </c>
      <c r="BH581" s="765">
        <v>29600</v>
      </c>
      <c r="BI581" s="765">
        <v>60500</v>
      </c>
      <c r="BJ581" s="765">
        <v>183</v>
      </c>
      <c r="BK581" s="765">
        <v>1950</v>
      </c>
      <c r="BL581" s="771">
        <v>5110</v>
      </c>
    </row>
    <row r="582" spans="35:64" x14ac:dyDescent="0.3">
      <c r="AI582" s="763" t="s">
        <v>979</v>
      </c>
      <c r="AJ582" s="764">
        <v>24400</v>
      </c>
      <c r="AK582" s="765">
        <v>702</v>
      </c>
      <c r="AL582" s="765">
        <v>15.5</v>
      </c>
      <c r="AM582" s="765">
        <v>254</v>
      </c>
      <c r="AN582" s="765">
        <v>27.9</v>
      </c>
      <c r="AO582" s="767" t="s">
        <v>980</v>
      </c>
      <c r="AP582" s="767">
        <v>52</v>
      </c>
      <c r="AQ582" s="765">
        <v>30</v>
      </c>
      <c r="AR582" s="770">
        <v>27</v>
      </c>
      <c r="AS582" s="766">
        <v>146</v>
      </c>
      <c r="AT582" s="765">
        <v>217</v>
      </c>
      <c r="AU582" s="767">
        <v>7.16</v>
      </c>
      <c r="AV582" s="768">
        <v>41.9</v>
      </c>
      <c r="AW582" s="765">
        <v>2360</v>
      </c>
      <c r="AX582" s="765">
        <v>6790</v>
      </c>
      <c r="AY582" s="765">
        <v>294</v>
      </c>
      <c r="AZ582" s="765">
        <v>9330</v>
      </c>
      <c r="BA582" s="765">
        <v>231</v>
      </c>
      <c r="BB582" s="765">
        <v>1290</v>
      </c>
      <c r="BC582" s="765">
        <v>82.7</v>
      </c>
      <c r="BD582" s="765">
        <v>1990</v>
      </c>
      <c r="BE582" s="767">
        <v>0.54645099605064329</v>
      </c>
      <c r="BF582" s="768">
        <v>675.8</v>
      </c>
      <c r="BG582" s="765">
        <v>8340</v>
      </c>
      <c r="BH582" s="765">
        <v>26400</v>
      </c>
      <c r="BI582" s="765">
        <v>60500</v>
      </c>
      <c r="BJ582" s="765">
        <v>163</v>
      </c>
      <c r="BK582" s="765">
        <v>1730</v>
      </c>
      <c r="BL582" s="771">
        <v>4610</v>
      </c>
    </row>
    <row r="583" spans="35:64" x14ac:dyDescent="0.3">
      <c r="AI583" s="763" t="s">
        <v>981</v>
      </c>
      <c r="AJ583" s="764">
        <v>21600</v>
      </c>
      <c r="AK583" s="765">
        <v>693</v>
      </c>
      <c r="AL583" s="765">
        <v>14.5</v>
      </c>
      <c r="AM583" s="765">
        <v>256</v>
      </c>
      <c r="AN583" s="765">
        <v>23.6</v>
      </c>
      <c r="AO583" s="767" t="s">
        <v>982</v>
      </c>
      <c r="AP583" s="767">
        <v>49</v>
      </c>
      <c r="AQ583" s="765">
        <v>29</v>
      </c>
      <c r="AR583" s="770">
        <v>27</v>
      </c>
      <c r="AS583" s="766">
        <v>129</v>
      </c>
      <c r="AT583" s="765">
        <v>192</v>
      </c>
      <c r="AU583" s="767">
        <v>4.55</v>
      </c>
      <c r="AV583" s="768">
        <v>41.7</v>
      </c>
      <c r="AW583" s="765">
        <v>1980</v>
      </c>
      <c r="AX583" s="765">
        <v>5640</v>
      </c>
      <c r="AY583" s="765">
        <v>292</v>
      </c>
      <c r="AZ583" s="765">
        <v>8430</v>
      </c>
      <c r="BA583" s="765">
        <v>206</v>
      </c>
      <c r="BB583" s="765">
        <v>1160</v>
      </c>
      <c r="BC583" s="765">
        <v>82</v>
      </c>
      <c r="BD583" s="765">
        <v>1790</v>
      </c>
      <c r="BE583" s="767">
        <v>0.54141447240022222</v>
      </c>
      <c r="BF583" s="768">
        <v>673.6</v>
      </c>
      <c r="BG583" s="765">
        <v>6270</v>
      </c>
      <c r="BH583" s="765">
        <v>23400</v>
      </c>
      <c r="BI583" s="765">
        <v>60000</v>
      </c>
      <c r="BJ583" s="765">
        <v>146</v>
      </c>
      <c r="BK583" s="765">
        <v>1570</v>
      </c>
      <c r="BL583" s="771">
        <v>4160</v>
      </c>
    </row>
    <row r="584" spans="35:64" x14ac:dyDescent="0.3">
      <c r="AI584" s="763" t="s">
        <v>983</v>
      </c>
      <c r="AJ584" s="764">
        <v>19400</v>
      </c>
      <c r="AK584" s="765">
        <v>688</v>
      </c>
      <c r="AL584" s="765">
        <v>13.1</v>
      </c>
      <c r="AM584" s="765">
        <v>254</v>
      </c>
      <c r="AN584" s="765">
        <v>21.1</v>
      </c>
      <c r="AO584" s="767" t="s">
        <v>984</v>
      </c>
      <c r="AP584" s="767">
        <v>47</v>
      </c>
      <c r="AQ584" s="765">
        <v>28</v>
      </c>
      <c r="AR584" s="770">
        <v>27</v>
      </c>
      <c r="AS584" s="766">
        <v>114</v>
      </c>
      <c r="AT584" s="765">
        <v>170</v>
      </c>
      <c r="AU584" s="767">
        <v>5.42</v>
      </c>
      <c r="AV584" s="768">
        <v>44.5</v>
      </c>
      <c r="AW584" s="765">
        <v>1700</v>
      </c>
      <c r="AX584" s="765">
        <v>4910</v>
      </c>
      <c r="AY584" s="765">
        <v>291</v>
      </c>
      <c r="AZ584" s="765">
        <v>7610</v>
      </c>
      <c r="BA584" s="765">
        <v>185</v>
      </c>
      <c r="BB584" s="765">
        <v>1040</v>
      </c>
      <c r="BC584" s="765">
        <v>81.5</v>
      </c>
      <c r="BD584" s="765">
        <v>1610</v>
      </c>
      <c r="BE584" s="767">
        <v>0.53749431940530445</v>
      </c>
      <c r="BF584" s="768">
        <v>670.2</v>
      </c>
      <c r="BG584" s="765">
        <v>4720</v>
      </c>
      <c r="BH584" s="765">
        <v>20800</v>
      </c>
      <c r="BI584" s="765">
        <v>59500</v>
      </c>
      <c r="BJ584" s="765">
        <v>131</v>
      </c>
      <c r="BK584" s="765">
        <v>1410</v>
      </c>
      <c r="BL584" s="771">
        <v>3750</v>
      </c>
    </row>
    <row r="585" spans="35:64" x14ac:dyDescent="0.3">
      <c r="AI585" s="763" t="s">
        <v>985</v>
      </c>
      <c r="AJ585" s="764">
        <v>17800</v>
      </c>
      <c r="AK585" s="765">
        <v>684</v>
      </c>
      <c r="AL585" s="765">
        <v>12.4</v>
      </c>
      <c r="AM585" s="765">
        <v>254</v>
      </c>
      <c r="AN585" s="765">
        <v>18.899999999999999</v>
      </c>
      <c r="AO585" s="767" t="s">
        <v>986</v>
      </c>
      <c r="AP585" s="767">
        <v>50</v>
      </c>
      <c r="AQ585" s="769">
        <v>28</v>
      </c>
      <c r="AR585" s="770">
        <v>27</v>
      </c>
      <c r="AS585" s="766">
        <v>102</v>
      </c>
      <c r="AT585" s="765">
        <v>152</v>
      </c>
      <c r="AU585" s="767">
        <v>6.02</v>
      </c>
      <c r="AV585" s="768">
        <v>49.3</v>
      </c>
      <c r="AW585" s="765">
        <v>1510</v>
      </c>
      <c r="AX585" s="765">
        <v>4380</v>
      </c>
      <c r="AY585" s="765">
        <v>285</v>
      </c>
      <c r="AZ585" s="765">
        <v>6460</v>
      </c>
      <c r="BA585" s="765">
        <v>76.400000000000006</v>
      </c>
      <c r="BB585" s="765">
        <v>602</v>
      </c>
      <c r="BC585" s="765">
        <v>56</v>
      </c>
      <c r="BD585" s="765">
        <v>941</v>
      </c>
      <c r="BE585" s="767">
        <v>0.37998260778752502</v>
      </c>
      <c r="BF585" s="768">
        <v>674.1</v>
      </c>
      <c r="BG585" s="765">
        <v>4620</v>
      </c>
      <c r="BH585" s="765">
        <v>8680</v>
      </c>
      <c r="BI585" s="765">
        <v>42800</v>
      </c>
      <c r="BJ585" s="765">
        <v>75.8</v>
      </c>
      <c r="BK585" s="765">
        <v>1120</v>
      </c>
      <c r="BL585" s="771">
        <v>3200</v>
      </c>
    </row>
    <row r="586" spans="35:64" x14ac:dyDescent="0.3">
      <c r="AI586" s="763" t="s">
        <v>987</v>
      </c>
      <c r="AJ586" s="764">
        <v>16000</v>
      </c>
      <c r="AK586" s="765">
        <v>678</v>
      </c>
      <c r="AL586" s="765">
        <v>11.7</v>
      </c>
      <c r="AM586" s="765">
        <v>253</v>
      </c>
      <c r="AN586" s="765">
        <v>16.3</v>
      </c>
      <c r="AO586" s="767" t="s">
        <v>988</v>
      </c>
      <c r="AP586" s="767">
        <v>45</v>
      </c>
      <c r="AQ586" s="765">
        <v>28</v>
      </c>
      <c r="AR586" s="770">
        <v>27</v>
      </c>
      <c r="AS586" s="766">
        <v>94</v>
      </c>
      <c r="AT586" s="768">
        <v>140</v>
      </c>
      <c r="AU586" s="767">
        <v>6.72</v>
      </c>
      <c r="AV586" s="768">
        <v>52.1</v>
      </c>
      <c r="AW586" s="765">
        <v>1360</v>
      </c>
      <c r="AX586" s="765">
        <v>3980</v>
      </c>
      <c r="AY586" s="765">
        <v>280</v>
      </c>
      <c r="AZ586" s="765">
        <v>5620</v>
      </c>
      <c r="BA586" s="765">
        <v>66.2</v>
      </c>
      <c r="BB586" s="765">
        <v>517</v>
      </c>
      <c r="BC586" s="765">
        <v>55.3</v>
      </c>
      <c r="BD586" s="765">
        <v>809</v>
      </c>
      <c r="BE586" s="767">
        <v>0.37768375327335918</v>
      </c>
      <c r="BF586" s="768">
        <v>669.4</v>
      </c>
      <c r="BG586" s="765">
        <v>3050</v>
      </c>
      <c r="BH586" s="765">
        <v>7410</v>
      </c>
      <c r="BI586" s="765">
        <v>42800</v>
      </c>
      <c r="BJ586" s="765">
        <v>64.7</v>
      </c>
      <c r="BK586" s="765">
        <v>954</v>
      </c>
      <c r="BL586" s="771">
        <v>2780</v>
      </c>
    </row>
    <row r="587" spans="35:64" x14ac:dyDescent="0.3">
      <c r="AI587" s="763" t="s">
        <v>989</v>
      </c>
      <c r="AJ587" s="764">
        <v>70200</v>
      </c>
      <c r="AK587" s="765">
        <v>711</v>
      </c>
      <c r="AL587" s="765">
        <v>38.6</v>
      </c>
      <c r="AM587" s="765">
        <v>347</v>
      </c>
      <c r="AN587" s="765">
        <v>69.099999999999994</v>
      </c>
      <c r="AO587" s="767" t="s">
        <v>990</v>
      </c>
      <c r="AP587" s="767">
        <v>43</v>
      </c>
      <c r="AQ587" s="769">
        <v>27</v>
      </c>
      <c r="AR587" s="770">
        <v>27</v>
      </c>
      <c r="AS587" s="766">
        <v>84</v>
      </c>
      <c r="AT587" s="768">
        <v>125</v>
      </c>
      <c r="AU587" s="767">
        <v>7.76</v>
      </c>
      <c r="AV587" s="768">
        <v>55.2</v>
      </c>
      <c r="AW587" s="765">
        <v>1190</v>
      </c>
      <c r="AX587" s="765">
        <v>3500</v>
      </c>
      <c r="AY587" s="765">
        <v>279</v>
      </c>
      <c r="AZ587" s="765">
        <v>5000</v>
      </c>
      <c r="BA587" s="765">
        <v>57.8</v>
      </c>
      <c r="BB587" s="765">
        <v>455</v>
      </c>
      <c r="BC587" s="765">
        <v>54.6</v>
      </c>
      <c r="BD587" s="765">
        <v>710</v>
      </c>
      <c r="BE587" s="767">
        <v>0.37293115083233341</v>
      </c>
      <c r="BF587" s="768">
        <v>666.9</v>
      </c>
      <c r="BG587" s="765">
        <v>2200</v>
      </c>
      <c r="BH587" s="765">
        <v>6420</v>
      </c>
      <c r="BI587" s="765">
        <v>42300</v>
      </c>
      <c r="BJ587" s="765">
        <v>56.7</v>
      </c>
      <c r="BK587" s="765">
        <v>847</v>
      </c>
      <c r="BL587" s="771">
        <v>2470</v>
      </c>
    </row>
    <row r="588" spans="35:64" x14ac:dyDescent="0.3">
      <c r="AI588" s="763" t="s">
        <v>991</v>
      </c>
      <c r="AJ588" s="764">
        <v>63500</v>
      </c>
      <c r="AK588" s="765">
        <v>699</v>
      </c>
      <c r="AL588" s="765">
        <v>35.1</v>
      </c>
      <c r="AM588" s="765">
        <v>343</v>
      </c>
      <c r="AN588" s="765">
        <v>63</v>
      </c>
      <c r="AO588" s="767" t="s">
        <v>992</v>
      </c>
      <c r="AP588" s="767">
        <v>41</v>
      </c>
      <c r="AQ588" s="769">
        <v>27</v>
      </c>
      <c r="AR588" s="770">
        <v>27</v>
      </c>
      <c r="AS588" s="766">
        <v>370</v>
      </c>
      <c r="AT588" s="765">
        <v>551</v>
      </c>
      <c r="AU588" s="767">
        <v>2.5099999999999998</v>
      </c>
      <c r="AV588" s="768">
        <v>14.8</v>
      </c>
      <c r="AW588" s="765">
        <v>5570</v>
      </c>
      <c r="AX588" s="765">
        <v>15700</v>
      </c>
      <c r="AY588" s="765">
        <v>276</v>
      </c>
      <c r="AZ588" s="765">
        <v>4550</v>
      </c>
      <c r="BA588" s="765">
        <v>51.7</v>
      </c>
      <c r="BB588" s="765">
        <v>407</v>
      </c>
      <c r="BC588" s="765">
        <v>53.9</v>
      </c>
      <c r="BD588" s="765">
        <v>636</v>
      </c>
      <c r="BE588" s="767">
        <v>0.36964097485105091</v>
      </c>
      <c r="BF588" s="768">
        <v>665.1</v>
      </c>
      <c r="BG588" s="765">
        <v>1670</v>
      </c>
      <c r="BH588" s="765">
        <v>5720</v>
      </c>
      <c r="BI588" s="765">
        <v>42200</v>
      </c>
      <c r="BJ588" s="765">
        <v>50.7</v>
      </c>
      <c r="BK588" s="765">
        <v>759</v>
      </c>
      <c r="BL588" s="771">
        <v>2240</v>
      </c>
    </row>
    <row r="589" spans="35:64" x14ac:dyDescent="0.3">
      <c r="AI589" s="763" t="s">
        <v>993</v>
      </c>
      <c r="AJ589" s="764">
        <v>57900</v>
      </c>
      <c r="AK589" s="765">
        <v>689</v>
      </c>
      <c r="AL589" s="765">
        <v>32</v>
      </c>
      <c r="AM589" s="765">
        <v>340</v>
      </c>
      <c r="AN589" s="765">
        <v>57.9</v>
      </c>
      <c r="AO589" s="767" t="s">
        <v>994</v>
      </c>
      <c r="AP589" s="767">
        <v>38</v>
      </c>
      <c r="AQ589" s="769">
        <v>26</v>
      </c>
      <c r="AR589" s="770">
        <v>27</v>
      </c>
      <c r="AS589" s="766">
        <v>335</v>
      </c>
      <c r="AT589" s="765">
        <v>498</v>
      </c>
      <c r="AU589" s="767">
        <v>2.72</v>
      </c>
      <c r="AV589" s="768">
        <v>16.3</v>
      </c>
      <c r="AW589" s="765">
        <v>4950</v>
      </c>
      <c r="AX589" s="765">
        <v>14200</v>
      </c>
      <c r="AY589" s="765">
        <v>272</v>
      </c>
      <c r="AZ589" s="765">
        <v>4010</v>
      </c>
      <c r="BA589" s="765">
        <v>44.1</v>
      </c>
      <c r="BB589" s="765">
        <v>349</v>
      </c>
      <c r="BC589" s="765">
        <v>52.5</v>
      </c>
      <c r="BD589" s="765">
        <v>546</v>
      </c>
      <c r="BE589" s="767">
        <v>0.36313023263701888</v>
      </c>
      <c r="BF589" s="768">
        <v>661.7</v>
      </c>
      <c r="BG589" s="765">
        <v>1180</v>
      </c>
      <c r="BH589" s="765">
        <v>4830</v>
      </c>
      <c r="BI589" s="765">
        <v>41900</v>
      </c>
      <c r="BJ589" s="765">
        <v>43.1</v>
      </c>
      <c r="BK589" s="765">
        <v>651</v>
      </c>
      <c r="BL589" s="771">
        <v>1970</v>
      </c>
    </row>
    <row r="590" spans="35:64" x14ac:dyDescent="0.3">
      <c r="AI590" s="763" t="s">
        <v>995</v>
      </c>
      <c r="AJ590" s="764">
        <v>52900</v>
      </c>
      <c r="AK590" s="765">
        <v>679</v>
      </c>
      <c r="AL590" s="765">
        <v>29.5</v>
      </c>
      <c r="AM590" s="765">
        <v>338</v>
      </c>
      <c r="AN590" s="765">
        <v>53.1</v>
      </c>
      <c r="AO590" s="767" t="s">
        <v>996</v>
      </c>
      <c r="AP590" s="767">
        <v>91</v>
      </c>
      <c r="AQ590" s="769">
        <v>40</v>
      </c>
      <c r="AR590" s="770">
        <v>24</v>
      </c>
      <c r="AS590" s="766">
        <v>306</v>
      </c>
      <c r="AT590" s="765">
        <v>455</v>
      </c>
      <c r="AU590" s="767">
        <v>2.94</v>
      </c>
      <c r="AV590" s="768">
        <v>17.899999999999999</v>
      </c>
      <c r="AW590" s="765">
        <v>4440</v>
      </c>
      <c r="AX590" s="765">
        <v>12900</v>
      </c>
      <c r="AY590" s="765">
        <v>282</v>
      </c>
      <c r="AZ590" s="765">
        <v>18600</v>
      </c>
      <c r="BA590" s="765">
        <v>484</v>
      </c>
      <c r="BB590" s="765">
        <v>2790</v>
      </c>
      <c r="BC590" s="765">
        <v>83</v>
      </c>
      <c r="BD590" s="765">
        <v>4380</v>
      </c>
      <c r="BE590" s="767">
        <v>0.5594826852401561</v>
      </c>
      <c r="BF590" s="768">
        <v>641.9</v>
      </c>
      <c r="BG590" s="765">
        <v>83800</v>
      </c>
      <c r="BH590" s="765">
        <v>49900</v>
      </c>
      <c r="BI590" s="765">
        <v>55700</v>
      </c>
      <c r="BJ590" s="765">
        <v>334</v>
      </c>
      <c r="BK590" s="765">
        <v>3420</v>
      </c>
      <c r="BL590" s="771">
        <v>9280</v>
      </c>
    </row>
    <row r="591" spans="35:64" x14ac:dyDescent="0.3">
      <c r="AI591" s="763" t="s">
        <v>997</v>
      </c>
      <c r="AJ591" s="764">
        <v>47400</v>
      </c>
      <c r="AK591" s="765">
        <v>669</v>
      </c>
      <c r="AL591" s="765">
        <v>26.4</v>
      </c>
      <c r="AM591" s="765">
        <v>335</v>
      </c>
      <c r="AN591" s="765">
        <v>48</v>
      </c>
      <c r="AO591" s="767" t="s">
        <v>998</v>
      </c>
      <c r="AP591" s="767">
        <v>85</v>
      </c>
      <c r="AQ591" s="769">
        <v>38</v>
      </c>
      <c r="AR591" s="770">
        <v>24</v>
      </c>
      <c r="AS591" s="766">
        <v>279</v>
      </c>
      <c r="AT591" s="765">
        <v>415</v>
      </c>
      <c r="AU591" s="767">
        <v>3.18</v>
      </c>
      <c r="AV591" s="768">
        <v>19.399999999999999</v>
      </c>
      <c r="AW591" s="765">
        <v>4000</v>
      </c>
      <c r="AX591" s="765">
        <v>11800</v>
      </c>
      <c r="AY591" s="765">
        <v>279</v>
      </c>
      <c r="AZ591" s="765">
        <v>16700</v>
      </c>
      <c r="BA591" s="765">
        <v>426</v>
      </c>
      <c r="BB591" s="765">
        <v>2480</v>
      </c>
      <c r="BC591" s="765">
        <v>81.900000000000006</v>
      </c>
      <c r="BD591" s="765">
        <v>3890</v>
      </c>
      <c r="BE591" s="767">
        <v>0.54932269887933649</v>
      </c>
      <c r="BF591" s="768">
        <v>636</v>
      </c>
      <c r="BG591" s="765">
        <v>63200</v>
      </c>
      <c r="BH591" s="765">
        <v>43100</v>
      </c>
      <c r="BI591" s="765">
        <v>54500</v>
      </c>
      <c r="BJ591" s="765">
        <v>295</v>
      </c>
      <c r="BK591" s="765">
        <v>3080</v>
      </c>
      <c r="BL591" s="771">
        <v>8310</v>
      </c>
    </row>
    <row r="592" spans="35:64" x14ac:dyDescent="0.3">
      <c r="AI592" s="763" t="s">
        <v>999</v>
      </c>
      <c r="AJ592" s="764">
        <v>43400</v>
      </c>
      <c r="AK592" s="765">
        <v>661</v>
      </c>
      <c r="AL592" s="765">
        <v>24.4</v>
      </c>
      <c r="AM592" s="765">
        <v>333</v>
      </c>
      <c r="AN592" s="765">
        <v>43.9</v>
      </c>
      <c r="AO592" s="767" t="s">
        <v>1000</v>
      </c>
      <c r="AP592" s="767">
        <v>80</v>
      </c>
      <c r="AQ592" s="769">
        <v>36</v>
      </c>
      <c r="AR592" s="770">
        <v>24</v>
      </c>
      <c r="AS592" s="766">
        <v>250</v>
      </c>
      <c r="AT592" s="765">
        <v>372</v>
      </c>
      <c r="AU592" s="767">
        <v>3.49</v>
      </c>
      <c r="AV592" s="768">
        <v>21.7</v>
      </c>
      <c r="AW592" s="765">
        <v>3530</v>
      </c>
      <c r="AX592" s="765">
        <v>10600</v>
      </c>
      <c r="AY592" s="765">
        <v>277</v>
      </c>
      <c r="AZ592" s="765">
        <v>15100</v>
      </c>
      <c r="BA592" s="765">
        <v>381</v>
      </c>
      <c r="BB592" s="765">
        <v>2240</v>
      </c>
      <c r="BC592" s="765">
        <v>81.099999999999994</v>
      </c>
      <c r="BD592" s="765">
        <v>3500</v>
      </c>
      <c r="BE592" s="767">
        <v>0.54274544992772322</v>
      </c>
      <c r="BF592" s="768">
        <v>631.1</v>
      </c>
      <c r="BG592" s="765">
        <v>48800</v>
      </c>
      <c r="BH592" s="765">
        <v>37900</v>
      </c>
      <c r="BI592" s="765">
        <v>53600</v>
      </c>
      <c r="BJ592" s="765">
        <v>264</v>
      </c>
      <c r="BK592" s="765">
        <v>2810</v>
      </c>
      <c r="BL592" s="771">
        <v>7530</v>
      </c>
    </row>
    <row r="593" spans="35:64" x14ac:dyDescent="0.3">
      <c r="AI593" s="763" t="s">
        <v>1001</v>
      </c>
      <c r="AJ593" s="764">
        <v>39100</v>
      </c>
      <c r="AK593" s="765">
        <v>653</v>
      </c>
      <c r="AL593" s="765">
        <v>22.1</v>
      </c>
      <c r="AM593" s="765">
        <v>330</v>
      </c>
      <c r="AN593" s="765">
        <v>39.9</v>
      </c>
      <c r="AO593" s="767" t="s">
        <v>1002</v>
      </c>
      <c r="AP593" s="767">
        <v>75</v>
      </c>
      <c r="AQ593" s="769">
        <v>35</v>
      </c>
      <c r="AR593" s="770">
        <v>24</v>
      </c>
      <c r="AS593" s="766">
        <v>229</v>
      </c>
      <c r="AT593" s="765">
        <v>341</v>
      </c>
      <c r="AU593" s="767">
        <v>3.79</v>
      </c>
      <c r="AV593" s="768">
        <v>23.5</v>
      </c>
      <c r="AW593" s="765">
        <v>3180</v>
      </c>
      <c r="AX593" s="765">
        <v>9630</v>
      </c>
      <c r="AY593" s="765">
        <v>275</v>
      </c>
      <c r="AZ593" s="765">
        <v>13700</v>
      </c>
      <c r="BA593" s="765">
        <v>343</v>
      </c>
      <c r="BB593" s="765">
        <v>2030</v>
      </c>
      <c r="BC593" s="765">
        <v>80.5</v>
      </c>
      <c r="BD593" s="765">
        <v>3160</v>
      </c>
      <c r="BE593" s="767">
        <v>0.53637354037697027</v>
      </c>
      <c r="BF593" s="768">
        <v>625.9</v>
      </c>
      <c r="BG593" s="765">
        <v>37700</v>
      </c>
      <c r="BH593" s="765">
        <v>33600</v>
      </c>
      <c r="BI593" s="765">
        <v>52900</v>
      </c>
      <c r="BJ593" s="765">
        <v>237</v>
      </c>
      <c r="BK593" s="765">
        <v>2560</v>
      </c>
      <c r="BL593" s="771">
        <v>6830</v>
      </c>
    </row>
    <row r="594" spans="35:64" x14ac:dyDescent="0.3">
      <c r="AI594" s="763" t="s">
        <v>1003</v>
      </c>
      <c r="AJ594" s="764">
        <v>36300</v>
      </c>
      <c r="AK594" s="765">
        <v>647</v>
      </c>
      <c r="AL594" s="765">
        <v>20.6</v>
      </c>
      <c r="AM594" s="765">
        <v>329</v>
      </c>
      <c r="AN594" s="765">
        <v>37.1</v>
      </c>
      <c r="AO594" s="767" t="s">
        <v>1004</v>
      </c>
      <c r="AP594" s="767">
        <v>70</v>
      </c>
      <c r="AQ594" s="769">
        <v>34</v>
      </c>
      <c r="AR594" s="770">
        <v>24</v>
      </c>
      <c r="AS594" s="766">
        <v>207</v>
      </c>
      <c r="AT594" s="765">
        <v>307</v>
      </c>
      <c r="AU594" s="767">
        <v>4.1399999999999997</v>
      </c>
      <c r="AV594" s="768">
        <v>25.9</v>
      </c>
      <c r="AW594" s="765">
        <v>2840</v>
      </c>
      <c r="AX594" s="765">
        <v>8690</v>
      </c>
      <c r="AY594" s="765">
        <v>273</v>
      </c>
      <c r="AZ594" s="765">
        <v>12200</v>
      </c>
      <c r="BA594" s="765">
        <v>302</v>
      </c>
      <c r="BB594" s="765">
        <v>1800</v>
      </c>
      <c r="BC594" s="765">
        <v>79.8</v>
      </c>
      <c r="BD594" s="765">
        <v>2800</v>
      </c>
      <c r="BE594" s="767">
        <v>0.52883726480628257</v>
      </c>
      <c r="BF594" s="768">
        <v>621</v>
      </c>
      <c r="BG594" s="765">
        <v>27700</v>
      </c>
      <c r="BH594" s="765">
        <v>29100</v>
      </c>
      <c r="BI594" s="765">
        <v>52000</v>
      </c>
      <c r="BJ594" s="765">
        <v>209</v>
      </c>
      <c r="BK594" s="765">
        <v>2300</v>
      </c>
      <c r="BL594" s="771">
        <v>6080</v>
      </c>
    </row>
    <row r="595" spans="35:64" x14ac:dyDescent="0.3">
      <c r="AI595" s="763" t="s">
        <v>1005</v>
      </c>
      <c r="AJ595" s="764">
        <v>33300</v>
      </c>
      <c r="AK595" s="765">
        <v>641</v>
      </c>
      <c r="AL595" s="765">
        <v>19</v>
      </c>
      <c r="AM595" s="765">
        <v>327</v>
      </c>
      <c r="AN595" s="765">
        <v>34</v>
      </c>
      <c r="AO595" s="767" t="s">
        <v>1006</v>
      </c>
      <c r="AP595" s="767">
        <v>66</v>
      </c>
      <c r="AQ595" s="769">
        <v>33</v>
      </c>
      <c r="AR595" s="770">
        <v>24</v>
      </c>
      <c r="AS595" s="766">
        <v>192</v>
      </c>
      <c r="AT595" s="765">
        <v>285</v>
      </c>
      <c r="AU595" s="767">
        <v>4.43</v>
      </c>
      <c r="AV595" s="768">
        <v>27.8</v>
      </c>
      <c r="AW595" s="765">
        <v>2610</v>
      </c>
      <c r="AX595" s="765">
        <v>8060</v>
      </c>
      <c r="AY595" s="765">
        <v>271</v>
      </c>
      <c r="AZ595" s="765">
        <v>11100</v>
      </c>
      <c r="BA595" s="765">
        <v>271</v>
      </c>
      <c r="BB595" s="765">
        <v>1630</v>
      </c>
      <c r="BC595" s="765">
        <v>79</v>
      </c>
      <c r="BD595" s="765">
        <v>2520</v>
      </c>
      <c r="BE595" s="767">
        <v>0.52400340088231379</v>
      </c>
      <c r="BF595" s="768">
        <v>617.1</v>
      </c>
      <c r="BG595" s="765">
        <v>21300</v>
      </c>
      <c r="BH595" s="765">
        <v>25800</v>
      </c>
      <c r="BI595" s="765">
        <v>51400</v>
      </c>
      <c r="BJ595" s="765">
        <v>188</v>
      </c>
      <c r="BK595" s="765">
        <v>2090</v>
      </c>
      <c r="BL595" s="771">
        <v>5510</v>
      </c>
    </row>
    <row r="596" spans="35:64" x14ac:dyDescent="0.3">
      <c r="AI596" s="763" t="s">
        <v>1007</v>
      </c>
      <c r="AJ596" s="764">
        <v>30800</v>
      </c>
      <c r="AK596" s="765">
        <v>635</v>
      </c>
      <c r="AL596" s="765">
        <v>17.899999999999999</v>
      </c>
      <c r="AM596" s="765">
        <v>329</v>
      </c>
      <c r="AN596" s="765">
        <v>31</v>
      </c>
      <c r="AO596" s="767" t="s">
        <v>1008</v>
      </c>
      <c r="AP596" s="767">
        <v>62</v>
      </c>
      <c r="AQ596" s="769">
        <v>31</v>
      </c>
      <c r="AR596" s="770">
        <v>24</v>
      </c>
      <c r="AS596" s="766">
        <v>176</v>
      </c>
      <c r="AT596" s="765">
        <v>262</v>
      </c>
      <c r="AU596" s="767">
        <v>4.8099999999999996</v>
      </c>
      <c r="AV596" s="768">
        <v>30.2</v>
      </c>
      <c r="AW596" s="765">
        <v>2360</v>
      </c>
      <c r="AX596" s="765">
        <v>7360</v>
      </c>
      <c r="AY596" s="765">
        <v>269</v>
      </c>
      <c r="AZ596" s="765">
        <v>9930</v>
      </c>
      <c r="BA596" s="765">
        <v>240</v>
      </c>
      <c r="BB596" s="765">
        <v>1450</v>
      </c>
      <c r="BC596" s="765">
        <v>78.2</v>
      </c>
      <c r="BD596" s="765">
        <v>2240</v>
      </c>
      <c r="BE596" s="767">
        <v>0.51711668622466012</v>
      </c>
      <c r="BF596" s="768">
        <v>613.1</v>
      </c>
      <c r="BG596" s="765">
        <v>15900</v>
      </c>
      <c r="BH596" s="765">
        <v>22500</v>
      </c>
      <c r="BI596" s="765">
        <v>50600</v>
      </c>
      <c r="BJ596" s="765">
        <v>166</v>
      </c>
      <c r="BK596" s="765">
        <v>1880</v>
      </c>
      <c r="BL596" s="771">
        <v>4940</v>
      </c>
    </row>
    <row r="597" spans="35:64" x14ac:dyDescent="0.3">
      <c r="AI597" s="763" t="s">
        <v>1009</v>
      </c>
      <c r="AJ597" s="764">
        <v>27800</v>
      </c>
      <c r="AK597" s="765">
        <v>628</v>
      </c>
      <c r="AL597" s="765">
        <v>16.5</v>
      </c>
      <c r="AM597" s="765">
        <v>328</v>
      </c>
      <c r="AN597" s="765">
        <v>27.7</v>
      </c>
      <c r="AO597" s="767" t="s">
        <v>1010</v>
      </c>
      <c r="AP597" s="767">
        <v>59</v>
      </c>
      <c r="AQ597" s="769">
        <v>31</v>
      </c>
      <c r="AR597" s="770">
        <v>24</v>
      </c>
      <c r="AS597" s="766">
        <v>162</v>
      </c>
      <c r="AT597" s="765">
        <v>241</v>
      </c>
      <c r="AU597" s="767">
        <v>5.31</v>
      </c>
      <c r="AV597" s="768">
        <v>32</v>
      </c>
      <c r="AW597" s="765">
        <v>2150</v>
      </c>
      <c r="AX597" s="765">
        <v>6780</v>
      </c>
      <c r="AY597" s="765">
        <v>268</v>
      </c>
      <c r="AZ597" s="765">
        <v>9170</v>
      </c>
      <c r="BA597" s="765">
        <v>221</v>
      </c>
      <c r="BB597" s="765">
        <v>1340</v>
      </c>
      <c r="BC597" s="765">
        <v>77.900000000000006</v>
      </c>
      <c r="BD597" s="765">
        <v>2070</v>
      </c>
      <c r="BE597" s="767">
        <v>0.51388863465915458</v>
      </c>
      <c r="BF597" s="768">
        <v>609.9</v>
      </c>
      <c r="BG597" s="765">
        <v>12800</v>
      </c>
      <c r="BH597" s="765">
        <v>20500</v>
      </c>
      <c r="BI597" s="765">
        <v>50200</v>
      </c>
      <c r="BJ597" s="765">
        <v>153</v>
      </c>
      <c r="BK597" s="765">
        <v>1740</v>
      </c>
      <c r="BL597" s="771">
        <v>4570</v>
      </c>
    </row>
    <row r="598" spans="35:64" x14ac:dyDescent="0.3">
      <c r="AI598" s="763" t="s">
        <v>1011</v>
      </c>
      <c r="AJ598" s="764">
        <v>24900</v>
      </c>
      <c r="AK598" s="765">
        <v>622</v>
      </c>
      <c r="AL598" s="765">
        <v>15.4</v>
      </c>
      <c r="AM598" s="765">
        <v>327</v>
      </c>
      <c r="AN598" s="765">
        <v>24.4</v>
      </c>
      <c r="AO598" s="767" t="s">
        <v>1012</v>
      </c>
      <c r="AP598" s="767">
        <v>56</v>
      </c>
      <c r="AQ598" s="772">
        <v>30</v>
      </c>
      <c r="AR598" s="770">
        <v>24</v>
      </c>
      <c r="AS598" s="766">
        <v>146</v>
      </c>
      <c r="AT598" s="765">
        <v>217</v>
      </c>
      <c r="AU598" s="767">
        <v>5.92</v>
      </c>
      <c r="AV598" s="768">
        <v>34.700000000000003</v>
      </c>
      <c r="AW598" s="765">
        <v>1910</v>
      </c>
      <c r="AX598" s="765">
        <v>6070</v>
      </c>
      <c r="AY598" s="765">
        <v>266</v>
      </c>
      <c r="AZ598" s="765">
        <v>8350</v>
      </c>
      <c r="BA598" s="765">
        <v>198</v>
      </c>
      <c r="BB598" s="765">
        <v>1210</v>
      </c>
      <c r="BC598" s="765">
        <v>77.2</v>
      </c>
      <c r="BD598" s="765">
        <v>1870</v>
      </c>
      <c r="BE598" s="767">
        <v>0.50855761632055108</v>
      </c>
      <c r="BF598" s="768">
        <v>607</v>
      </c>
      <c r="BG598" s="765">
        <v>9900</v>
      </c>
      <c r="BH598" s="765">
        <v>18300</v>
      </c>
      <c r="BI598" s="765">
        <v>49600</v>
      </c>
      <c r="BJ598" s="765">
        <v>138</v>
      </c>
      <c r="BK598" s="765">
        <v>1590</v>
      </c>
      <c r="BL598" s="771">
        <v>4150</v>
      </c>
    </row>
    <row r="599" spans="35:64" x14ac:dyDescent="0.3">
      <c r="AI599" s="763" t="s">
        <v>1013</v>
      </c>
      <c r="AJ599" s="764">
        <v>22200</v>
      </c>
      <c r="AK599" s="765">
        <v>616</v>
      </c>
      <c r="AL599" s="765">
        <v>14</v>
      </c>
      <c r="AM599" s="773">
        <v>325</v>
      </c>
      <c r="AN599" s="765">
        <v>21.6</v>
      </c>
      <c r="AO599" s="767" t="s">
        <v>1014</v>
      </c>
      <c r="AP599" s="767">
        <v>53</v>
      </c>
      <c r="AQ599" s="769">
        <v>29</v>
      </c>
      <c r="AR599" s="770">
        <v>24</v>
      </c>
      <c r="AS599" s="766">
        <v>131</v>
      </c>
      <c r="AT599" s="765">
        <v>195</v>
      </c>
      <c r="AU599" s="767">
        <v>6.7</v>
      </c>
      <c r="AV599" s="768">
        <v>37.200000000000003</v>
      </c>
      <c r="AW599" s="765">
        <v>1680</v>
      </c>
      <c r="AX599" s="765">
        <v>5400</v>
      </c>
      <c r="AY599" s="765">
        <v>264</v>
      </c>
      <c r="AZ599" s="765">
        <v>7670</v>
      </c>
      <c r="BA599" s="765">
        <v>184</v>
      </c>
      <c r="BB599" s="765">
        <v>1120</v>
      </c>
      <c r="BC599" s="765">
        <v>77.400000000000006</v>
      </c>
      <c r="BD599" s="765">
        <v>1730</v>
      </c>
      <c r="BE599" s="767">
        <v>0.50923345685371535</v>
      </c>
      <c r="BF599" s="768">
        <v>604</v>
      </c>
      <c r="BG599" s="765">
        <v>7700</v>
      </c>
      <c r="BH599" s="765">
        <v>16800</v>
      </c>
      <c r="BI599" s="765">
        <v>49700</v>
      </c>
      <c r="BJ599" s="765">
        <v>127</v>
      </c>
      <c r="BK599" s="765">
        <v>1460</v>
      </c>
      <c r="BL599" s="771">
        <v>3810</v>
      </c>
    </row>
    <row r="600" spans="35:64" x14ac:dyDescent="0.3">
      <c r="AI600" s="763" t="s">
        <v>1015</v>
      </c>
      <c r="AJ600" s="764">
        <v>19700</v>
      </c>
      <c r="AK600" s="765">
        <v>611</v>
      </c>
      <c r="AL600" s="765">
        <v>12.7</v>
      </c>
      <c r="AM600" s="765">
        <v>324</v>
      </c>
      <c r="AN600" s="765">
        <v>19</v>
      </c>
      <c r="AO600" s="767" t="s">
        <v>1016</v>
      </c>
      <c r="AP600" s="767">
        <v>50</v>
      </c>
      <c r="AQ600" s="769">
        <v>29</v>
      </c>
      <c r="AR600" s="770">
        <v>24</v>
      </c>
      <c r="AS600" s="766">
        <v>117</v>
      </c>
      <c r="AT600" s="765">
        <v>174</v>
      </c>
      <c r="AU600" s="767">
        <v>7.52</v>
      </c>
      <c r="AV600" s="768">
        <v>40.9</v>
      </c>
      <c r="AW600" s="765">
        <v>1470</v>
      </c>
      <c r="AX600" s="765">
        <v>4780</v>
      </c>
      <c r="AY600" s="765">
        <v>262</v>
      </c>
      <c r="AZ600" s="765">
        <v>6850</v>
      </c>
      <c r="BA600" s="765">
        <v>163</v>
      </c>
      <c r="BB600" s="765">
        <v>995</v>
      </c>
      <c r="BC600" s="765">
        <v>76.7</v>
      </c>
      <c r="BD600" s="765">
        <v>1530</v>
      </c>
      <c r="BE600" s="767">
        <v>0.50498896641260482</v>
      </c>
      <c r="BF600" s="768">
        <v>600.29999999999995</v>
      </c>
      <c r="BG600" s="765">
        <v>5600</v>
      </c>
      <c r="BH600" s="765">
        <v>14700</v>
      </c>
      <c r="BI600" s="765">
        <v>49200</v>
      </c>
      <c r="BJ600" s="765">
        <v>112</v>
      </c>
      <c r="BK600" s="765">
        <v>1290</v>
      </c>
      <c r="BL600" s="771">
        <v>3400</v>
      </c>
    </row>
    <row r="601" spans="35:64" x14ac:dyDescent="0.3">
      <c r="AI601" s="763" t="s">
        <v>1017</v>
      </c>
      <c r="AJ601" s="764">
        <v>19600</v>
      </c>
      <c r="AK601" s="765">
        <v>623</v>
      </c>
      <c r="AL601" s="765">
        <v>14</v>
      </c>
      <c r="AM601" s="765">
        <v>229</v>
      </c>
      <c r="AN601" s="765">
        <v>24.9</v>
      </c>
      <c r="AO601" s="767" t="s">
        <v>1018</v>
      </c>
      <c r="AP601" s="767">
        <v>46</v>
      </c>
      <c r="AQ601" s="769">
        <v>28</v>
      </c>
      <c r="AR601" s="770">
        <v>24</v>
      </c>
      <c r="AS601" s="766">
        <v>104</v>
      </c>
      <c r="AT601" s="765">
        <v>155</v>
      </c>
      <c r="AU601" s="767">
        <v>8.5299999999999994</v>
      </c>
      <c r="AV601" s="768">
        <v>45.1</v>
      </c>
      <c r="AW601" s="765">
        <v>1290</v>
      </c>
      <c r="AX601" s="765">
        <v>4220</v>
      </c>
      <c r="AY601" s="765">
        <v>260</v>
      </c>
      <c r="AZ601" s="765">
        <v>6070</v>
      </c>
      <c r="BA601" s="765">
        <v>142</v>
      </c>
      <c r="BB601" s="765">
        <v>871</v>
      </c>
      <c r="BC601" s="765">
        <v>75.599999999999994</v>
      </c>
      <c r="BD601" s="765">
        <v>1340</v>
      </c>
      <c r="BE601" s="767">
        <v>0.49868480617192479</v>
      </c>
      <c r="BF601" s="768">
        <v>597.6</v>
      </c>
      <c r="BG601" s="765">
        <v>3970</v>
      </c>
      <c r="BH601" s="765">
        <v>12700</v>
      </c>
      <c r="BI601" s="765">
        <v>48900</v>
      </c>
      <c r="BJ601" s="765">
        <v>97.4</v>
      </c>
      <c r="BK601" s="765">
        <v>1140</v>
      </c>
      <c r="BL601" s="771">
        <v>3020</v>
      </c>
    </row>
    <row r="602" spans="35:64" x14ac:dyDescent="0.3">
      <c r="AI602" s="763" t="s">
        <v>1019</v>
      </c>
      <c r="AJ602" s="764">
        <v>17900</v>
      </c>
      <c r="AK602" s="765">
        <v>617</v>
      </c>
      <c r="AL602" s="765">
        <v>13.1</v>
      </c>
      <c r="AM602" s="765">
        <v>230</v>
      </c>
      <c r="AN602" s="765">
        <v>22.2</v>
      </c>
      <c r="AO602" s="767" t="s">
        <v>1020</v>
      </c>
      <c r="AP602" s="767">
        <v>43</v>
      </c>
      <c r="AQ602" s="765">
        <v>27</v>
      </c>
      <c r="AR602" s="770">
        <v>24</v>
      </c>
      <c r="AS602" s="766">
        <v>103</v>
      </c>
      <c r="AT602" s="765">
        <v>153</v>
      </c>
      <c r="AU602" s="767">
        <v>4.5999999999999996</v>
      </c>
      <c r="AV602" s="768">
        <v>40.9</v>
      </c>
      <c r="AW602" s="765">
        <v>1250</v>
      </c>
      <c r="AX602" s="765">
        <v>4020</v>
      </c>
      <c r="AY602" s="765">
        <v>257</v>
      </c>
      <c r="AZ602" s="765">
        <v>5360</v>
      </c>
      <c r="BA602" s="765">
        <v>124</v>
      </c>
      <c r="BB602" s="765">
        <v>761</v>
      </c>
      <c r="BC602" s="765">
        <v>74.7</v>
      </c>
      <c r="BD602" s="765">
        <v>1170</v>
      </c>
      <c r="BE602" s="767">
        <v>0.49317164349443909</v>
      </c>
      <c r="BF602" s="768">
        <v>594.4</v>
      </c>
      <c r="BG602" s="765">
        <v>2800</v>
      </c>
      <c r="BH602" s="765">
        <v>10900</v>
      </c>
      <c r="BI602" s="765">
        <v>48300</v>
      </c>
      <c r="BJ602" s="765">
        <v>84.8</v>
      </c>
      <c r="BK602" s="765">
        <v>998</v>
      </c>
      <c r="BL602" s="771">
        <v>2660</v>
      </c>
    </row>
    <row r="603" spans="35:64" x14ac:dyDescent="0.3">
      <c r="AI603" s="763" t="s">
        <v>1021</v>
      </c>
      <c r="AJ603" s="764">
        <v>15900</v>
      </c>
      <c r="AK603" s="765">
        <v>612</v>
      </c>
      <c r="AL603" s="765">
        <v>11.9</v>
      </c>
      <c r="AM603" s="765">
        <v>229</v>
      </c>
      <c r="AN603" s="765">
        <v>19.600000000000001</v>
      </c>
      <c r="AO603" s="767" t="s">
        <v>1022</v>
      </c>
      <c r="AP603" s="767">
        <v>41</v>
      </c>
      <c r="AQ603" s="765">
        <v>27</v>
      </c>
      <c r="AR603" s="770">
        <v>24</v>
      </c>
      <c r="AS603" s="766">
        <v>94</v>
      </c>
      <c r="AT603" s="768">
        <v>140</v>
      </c>
      <c r="AU603" s="767">
        <v>5.18</v>
      </c>
      <c r="AV603" s="768">
        <v>43.7</v>
      </c>
      <c r="AW603" s="765">
        <v>1120</v>
      </c>
      <c r="AX603" s="765">
        <v>3630</v>
      </c>
      <c r="AY603" s="765">
        <v>256</v>
      </c>
      <c r="AZ603" s="765">
        <v>4730</v>
      </c>
      <c r="BA603" s="765">
        <v>108</v>
      </c>
      <c r="BB603" s="765">
        <v>666</v>
      </c>
      <c r="BC603" s="765">
        <v>73.900000000000006</v>
      </c>
      <c r="BD603" s="765">
        <v>1020</v>
      </c>
      <c r="BE603" s="767">
        <v>0.48928022733393189</v>
      </c>
      <c r="BF603" s="768">
        <v>592</v>
      </c>
      <c r="BG603" s="765">
        <v>1950</v>
      </c>
      <c r="BH603" s="765">
        <v>9450</v>
      </c>
      <c r="BI603" s="765">
        <v>48000</v>
      </c>
      <c r="BJ603" s="765">
        <v>73.8</v>
      </c>
      <c r="BK603" s="765">
        <v>875</v>
      </c>
      <c r="BL603" s="771">
        <v>2340</v>
      </c>
    </row>
    <row r="604" spans="35:64" x14ac:dyDescent="0.3">
      <c r="AI604" s="763" t="s">
        <v>1023</v>
      </c>
      <c r="AJ604" s="764">
        <v>14400</v>
      </c>
      <c r="AK604" s="765">
        <v>608</v>
      </c>
      <c r="AL604" s="765">
        <v>11.2</v>
      </c>
      <c r="AM604" s="765">
        <v>228</v>
      </c>
      <c r="AN604" s="765">
        <v>17.3</v>
      </c>
      <c r="AO604" s="767" t="s">
        <v>1024</v>
      </c>
      <c r="AP604" s="767">
        <v>47</v>
      </c>
      <c r="AQ604" s="765">
        <v>27</v>
      </c>
      <c r="AR604" s="770">
        <v>24</v>
      </c>
      <c r="AS604" s="766">
        <v>84</v>
      </c>
      <c r="AT604" s="768">
        <v>125</v>
      </c>
      <c r="AU604" s="767">
        <v>5.84</v>
      </c>
      <c r="AV604" s="768">
        <v>48.1</v>
      </c>
      <c r="AW604" s="765">
        <v>985</v>
      </c>
      <c r="AX604" s="765">
        <v>3220</v>
      </c>
      <c r="AY604" s="765">
        <v>253</v>
      </c>
      <c r="AZ604" s="765">
        <v>4600</v>
      </c>
      <c r="BA604" s="765">
        <v>50</v>
      </c>
      <c r="BB604" s="765">
        <v>437</v>
      </c>
      <c r="BC604" s="765">
        <v>50.5</v>
      </c>
      <c r="BD604" s="765">
        <v>682</v>
      </c>
      <c r="BE604" s="767">
        <v>0.34293069159748663</v>
      </c>
      <c r="BF604" s="768">
        <v>598.1</v>
      </c>
      <c r="BG604" s="765">
        <v>2950</v>
      </c>
      <c r="BH604" s="765">
        <v>4470</v>
      </c>
      <c r="BI604" s="765">
        <v>34200</v>
      </c>
      <c r="BJ604" s="765">
        <v>48.8</v>
      </c>
      <c r="BK604" s="765">
        <v>800</v>
      </c>
      <c r="BL604" s="771">
        <v>2280</v>
      </c>
    </row>
    <row r="605" spans="35:64" x14ac:dyDescent="0.3">
      <c r="AI605" s="763" t="s">
        <v>1025</v>
      </c>
      <c r="AJ605" s="764">
        <v>13000</v>
      </c>
      <c r="AK605" s="765">
        <v>603</v>
      </c>
      <c r="AL605" s="765">
        <v>10.5</v>
      </c>
      <c r="AM605" s="765">
        <v>228</v>
      </c>
      <c r="AN605" s="765">
        <v>14.9</v>
      </c>
      <c r="AO605" s="767" t="s">
        <v>1026</v>
      </c>
      <c r="AP605" s="767">
        <v>44</v>
      </c>
      <c r="AQ605" s="769">
        <v>27</v>
      </c>
      <c r="AR605" s="770">
        <v>24</v>
      </c>
      <c r="AS605" s="766">
        <v>76</v>
      </c>
      <c r="AT605" s="768">
        <v>113</v>
      </c>
      <c r="AU605" s="767">
        <v>6.59</v>
      </c>
      <c r="AV605" s="768">
        <v>51.2</v>
      </c>
      <c r="AW605" s="765">
        <v>875</v>
      </c>
      <c r="AX605" s="765">
        <v>2880</v>
      </c>
      <c r="AY605" s="765">
        <v>250</v>
      </c>
      <c r="AZ605" s="765">
        <v>4150</v>
      </c>
      <c r="BA605" s="765">
        <v>45.1</v>
      </c>
      <c r="BB605" s="765">
        <v>392</v>
      </c>
      <c r="BC605" s="765">
        <v>50.3</v>
      </c>
      <c r="BD605" s="765">
        <v>613</v>
      </c>
      <c r="BE605" s="767">
        <v>0.34184878988425749</v>
      </c>
      <c r="BF605" s="768">
        <v>594.79999999999995</v>
      </c>
      <c r="BG605" s="765">
        <v>2180</v>
      </c>
      <c r="BH605" s="765">
        <v>3990</v>
      </c>
      <c r="BI605" s="765">
        <v>34200</v>
      </c>
      <c r="BJ605" s="765">
        <v>43.7</v>
      </c>
      <c r="BK605" s="765">
        <v>716</v>
      </c>
      <c r="BL605" s="771">
        <v>2060</v>
      </c>
    </row>
    <row r="606" spans="35:64" x14ac:dyDescent="0.3">
      <c r="AI606" s="763" t="s">
        <v>1027</v>
      </c>
      <c r="AJ606" s="764">
        <v>11500</v>
      </c>
      <c r="AK606" s="765">
        <v>598</v>
      </c>
      <c r="AL606" s="765">
        <v>9.6999999999999993</v>
      </c>
      <c r="AM606" s="765">
        <v>227</v>
      </c>
      <c r="AN606" s="765">
        <v>12.7</v>
      </c>
      <c r="AO606" s="767" t="s">
        <v>1028</v>
      </c>
      <c r="AP606" s="767">
        <v>41</v>
      </c>
      <c r="AQ606" s="769">
        <v>26</v>
      </c>
      <c r="AR606" s="770">
        <v>24</v>
      </c>
      <c r="AS606" s="766">
        <v>68</v>
      </c>
      <c r="AT606" s="768">
        <v>101</v>
      </c>
      <c r="AU606" s="767">
        <v>7.65</v>
      </c>
      <c r="AV606" s="768">
        <v>54.6</v>
      </c>
      <c r="AW606" s="765">
        <v>764</v>
      </c>
      <c r="AX606" s="765">
        <v>2530</v>
      </c>
      <c r="AY606" s="765">
        <v>249</v>
      </c>
      <c r="AZ606" s="765">
        <v>3670</v>
      </c>
      <c r="BA606" s="765">
        <v>39.299999999999997</v>
      </c>
      <c r="BB606" s="765">
        <v>343</v>
      </c>
      <c r="BC606" s="765">
        <v>49.7</v>
      </c>
      <c r="BD606" s="765">
        <v>535</v>
      </c>
      <c r="BE606" s="767">
        <v>0.33816213402612372</v>
      </c>
      <c r="BF606" s="768">
        <v>592.4</v>
      </c>
      <c r="BG606" s="765">
        <v>1540</v>
      </c>
      <c r="BH606" s="765">
        <v>3450</v>
      </c>
      <c r="BI606" s="765">
        <v>33900</v>
      </c>
      <c r="BJ606" s="765">
        <v>38.1</v>
      </c>
      <c r="BK606" s="765">
        <v>630</v>
      </c>
      <c r="BL606" s="771">
        <v>1820</v>
      </c>
    </row>
    <row r="607" spans="35:64" x14ac:dyDescent="0.3">
      <c r="AI607" s="763" t="s">
        <v>1029</v>
      </c>
      <c r="AJ607" s="764">
        <v>10600</v>
      </c>
      <c r="AK607" s="765">
        <v>596</v>
      </c>
      <c r="AL607" s="765">
        <v>9</v>
      </c>
      <c r="AM607" s="765">
        <v>226</v>
      </c>
      <c r="AN607" s="765">
        <v>11.7</v>
      </c>
      <c r="AO607" s="767" t="s">
        <v>1030</v>
      </c>
      <c r="AP607" s="767">
        <v>39</v>
      </c>
      <c r="AQ607" s="769">
        <v>26</v>
      </c>
      <c r="AR607" s="770">
        <v>24</v>
      </c>
      <c r="AS607" s="766">
        <v>61</v>
      </c>
      <c r="AT607" s="768">
        <v>91</v>
      </c>
      <c r="AU607" s="767">
        <v>8.94</v>
      </c>
      <c r="AV607" s="768">
        <v>59</v>
      </c>
      <c r="AW607" s="765">
        <v>657</v>
      </c>
      <c r="AX607" s="765">
        <v>2200</v>
      </c>
      <c r="AY607" s="765">
        <v>246</v>
      </c>
      <c r="AZ607" s="765">
        <v>3290</v>
      </c>
      <c r="BA607" s="765">
        <v>34.299999999999997</v>
      </c>
      <c r="BB607" s="765">
        <v>300</v>
      </c>
      <c r="BC607" s="765">
        <v>48.7</v>
      </c>
      <c r="BD607" s="765">
        <v>469</v>
      </c>
      <c r="BE607" s="767">
        <v>0.33346102686630308</v>
      </c>
      <c r="BF607" s="768">
        <v>590.70000000000005</v>
      </c>
      <c r="BG607" s="765">
        <v>1120</v>
      </c>
      <c r="BH607" s="765">
        <v>2990</v>
      </c>
      <c r="BI607" s="765">
        <v>33700</v>
      </c>
      <c r="BJ607" s="765">
        <v>33.200000000000003</v>
      </c>
      <c r="BK607" s="765">
        <v>554</v>
      </c>
      <c r="BL607" s="771">
        <v>1630</v>
      </c>
    </row>
    <row r="608" spans="35:64" x14ac:dyDescent="0.3">
      <c r="AI608" s="763" t="s">
        <v>1031</v>
      </c>
      <c r="AJ608" s="764">
        <v>11800</v>
      </c>
      <c r="AK608" s="765">
        <v>603</v>
      </c>
      <c r="AL608" s="765">
        <v>10.9</v>
      </c>
      <c r="AM608" s="765">
        <v>179</v>
      </c>
      <c r="AN608" s="765">
        <v>15</v>
      </c>
      <c r="AO608" s="767" t="s">
        <v>1032</v>
      </c>
      <c r="AP608" s="767">
        <v>37</v>
      </c>
      <c r="AQ608" s="769">
        <v>26</v>
      </c>
      <c r="AR608" s="770">
        <v>24</v>
      </c>
      <c r="AS608" s="766">
        <v>56</v>
      </c>
      <c r="AT608" s="768">
        <v>84</v>
      </c>
      <c r="AU608" s="767">
        <v>9.66</v>
      </c>
      <c r="AV608" s="768">
        <v>63.6</v>
      </c>
      <c r="AW608" s="765">
        <v>603</v>
      </c>
      <c r="AX608" s="765">
        <v>2020</v>
      </c>
      <c r="AY608" s="765">
        <v>243</v>
      </c>
      <c r="AZ608" s="765">
        <v>2900</v>
      </c>
      <c r="BA608" s="765">
        <v>29.5</v>
      </c>
      <c r="BB608" s="765">
        <v>259</v>
      </c>
      <c r="BC608" s="765">
        <v>47.7</v>
      </c>
      <c r="BD608" s="765">
        <v>404</v>
      </c>
      <c r="BE608" s="767">
        <v>0.329253415285992</v>
      </c>
      <c r="BF608" s="768">
        <v>588.1</v>
      </c>
      <c r="BG608" s="765">
        <v>781</v>
      </c>
      <c r="BH608" s="765">
        <v>2550</v>
      </c>
      <c r="BI608" s="765">
        <v>33500</v>
      </c>
      <c r="BJ608" s="765">
        <v>28.5</v>
      </c>
      <c r="BK608" s="765">
        <v>476</v>
      </c>
      <c r="BL608" s="771">
        <v>1430</v>
      </c>
    </row>
    <row r="609" spans="35:64" x14ac:dyDescent="0.3">
      <c r="AI609" s="763" t="s">
        <v>1033</v>
      </c>
      <c r="AJ609" s="764">
        <v>10500</v>
      </c>
      <c r="AK609" s="765">
        <v>599</v>
      </c>
      <c r="AL609" s="765">
        <v>10</v>
      </c>
      <c r="AM609" s="765">
        <v>178</v>
      </c>
      <c r="AN609" s="765">
        <v>12.8</v>
      </c>
      <c r="AO609" s="767" t="s">
        <v>1034</v>
      </c>
      <c r="AP609" s="767">
        <v>35</v>
      </c>
      <c r="AQ609" s="769">
        <v>25</v>
      </c>
      <c r="AR609" s="770">
        <v>24</v>
      </c>
      <c r="AS609" s="766">
        <v>62</v>
      </c>
      <c r="AT609" s="765">
        <v>92</v>
      </c>
      <c r="AU609" s="767">
        <v>5.97</v>
      </c>
      <c r="AV609" s="768">
        <v>52.6</v>
      </c>
      <c r="AW609" s="765">
        <v>651</v>
      </c>
      <c r="AX609" s="765">
        <v>2160</v>
      </c>
      <c r="AY609" s="765">
        <v>239</v>
      </c>
      <c r="AZ609" s="765">
        <v>2520</v>
      </c>
      <c r="BA609" s="765">
        <v>24.8</v>
      </c>
      <c r="BB609" s="765">
        <v>219</v>
      </c>
      <c r="BC609" s="765">
        <v>46.5</v>
      </c>
      <c r="BD609" s="765">
        <v>342</v>
      </c>
      <c r="BE609" s="767">
        <v>0.3228386666935727</v>
      </c>
      <c r="BF609" s="768">
        <v>585.29999999999995</v>
      </c>
      <c r="BG609" s="765">
        <v>531</v>
      </c>
      <c r="BH609" s="765">
        <v>2120</v>
      </c>
      <c r="BI609" s="765">
        <v>33200</v>
      </c>
      <c r="BJ609" s="765">
        <v>23.9</v>
      </c>
      <c r="BK609" s="765">
        <v>404</v>
      </c>
      <c r="BL609" s="771">
        <v>1240</v>
      </c>
    </row>
    <row r="610" spans="35:64" x14ac:dyDescent="0.3">
      <c r="AI610" s="763" t="s">
        <v>1035</v>
      </c>
      <c r="AJ610" s="764">
        <v>38200</v>
      </c>
      <c r="AK610" s="765">
        <v>585</v>
      </c>
      <c r="AL610" s="765">
        <v>23.1</v>
      </c>
      <c r="AM610" s="765">
        <v>319</v>
      </c>
      <c r="AN610" s="765">
        <v>41.4</v>
      </c>
      <c r="AO610" s="767" t="s">
        <v>1036</v>
      </c>
      <c r="AP610" s="767">
        <v>34</v>
      </c>
      <c r="AQ610" s="769">
        <v>25</v>
      </c>
      <c r="AR610" s="770">
        <v>24</v>
      </c>
      <c r="AS610" s="766">
        <v>55</v>
      </c>
      <c r="AT610" s="765">
        <v>82</v>
      </c>
      <c r="AU610" s="767">
        <v>6.95</v>
      </c>
      <c r="AV610" s="768">
        <v>57.3</v>
      </c>
      <c r="AW610" s="765">
        <v>565</v>
      </c>
      <c r="AX610" s="765">
        <v>1880</v>
      </c>
      <c r="AY610" s="765">
        <v>239</v>
      </c>
      <c r="AZ610" s="765">
        <v>2320</v>
      </c>
      <c r="BA610" s="765">
        <v>22.6</v>
      </c>
      <c r="BB610" s="765">
        <v>200</v>
      </c>
      <c r="BC610" s="765">
        <v>46.2</v>
      </c>
      <c r="BD610" s="765">
        <v>311</v>
      </c>
      <c r="BE610" s="767">
        <v>0.32112693355708199</v>
      </c>
      <c r="BF610" s="768">
        <v>584.29999999999995</v>
      </c>
      <c r="BG610" s="765">
        <v>420</v>
      </c>
      <c r="BH610" s="765">
        <v>1920</v>
      </c>
      <c r="BI610" s="765">
        <v>33000</v>
      </c>
      <c r="BJ610" s="765">
        <v>21.8</v>
      </c>
      <c r="BK610" s="765">
        <v>371</v>
      </c>
      <c r="BL610" s="771">
        <v>1140</v>
      </c>
    </row>
    <row r="611" spans="35:64" x14ac:dyDescent="0.3">
      <c r="AI611" s="763" t="s">
        <v>1037</v>
      </c>
      <c r="AJ611" s="764">
        <v>34600</v>
      </c>
      <c r="AK611" s="765">
        <v>577</v>
      </c>
      <c r="AL611" s="765">
        <v>21.1</v>
      </c>
      <c r="AM611" s="765">
        <v>318</v>
      </c>
      <c r="AN611" s="765">
        <v>37.6</v>
      </c>
      <c r="AO611" s="767" t="s">
        <v>1038</v>
      </c>
      <c r="AP611" s="767">
        <v>37</v>
      </c>
      <c r="AQ611" s="769">
        <v>25</v>
      </c>
      <c r="AR611" s="769">
        <v>24</v>
      </c>
      <c r="AS611" s="766">
        <v>201</v>
      </c>
      <c r="AT611" s="765">
        <v>300</v>
      </c>
      <c r="AU611" s="767">
        <v>3.85</v>
      </c>
      <c r="AV611" s="768">
        <v>21.7</v>
      </c>
      <c r="AW611" s="765">
        <v>2210</v>
      </c>
      <c r="AX611" s="765">
        <v>7550</v>
      </c>
      <c r="AY611" s="765">
        <v>235</v>
      </c>
      <c r="AZ611" s="765">
        <v>2530</v>
      </c>
      <c r="BA611" s="765">
        <v>14.4</v>
      </c>
      <c r="BB611" s="765">
        <v>161</v>
      </c>
      <c r="BC611" s="765">
        <v>34.9</v>
      </c>
      <c r="BD611" s="765">
        <v>259</v>
      </c>
      <c r="BE611" s="767">
        <v>0.24922479687020341</v>
      </c>
      <c r="BF611" s="768">
        <v>588</v>
      </c>
      <c r="BG611" s="765">
        <v>738</v>
      </c>
      <c r="BH611" s="765">
        <v>1250</v>
      </c>
      <c r="BI611" s="765">
        <v>26300</v>
      </c>
      <c r="BJ611" s="765">
        <v>17.7</v>
      </c>
      <c r="BK611" s="765">
        <v>371</v>
      </c>
      <c r="BL611" s="771">
        <v>1240</v>
      </c>
    </row>
    <row r="612" spans="35:64" x14ac:dyDescent="0.3">
      <c r="AI612" s="763" t="s">
        <v>1039</v>
      </c>
      <c r="AJ612" s="764">
        <v>31400</v>
      </c>
      <c r="AK612" s="765">
        <v>571</v>
      </c>
      <c r="AL612" s="765">
        <v>19</v>
      </c>
      <c r="AM612" s="765">
        <v>315</v>
      </c>
      <c r="AN612" s="765">
        <v>34.5</v>
      </c>
      <c r="AO612" s="767" t="s">
        <v>1040</v>
      </c>
      <c r="AP612" s="767">
        <v>34</v>
      </c>
      <c r="AQ612" s="769">
        <v>25</v>
      </c>
      <c r="AR612" s="769">
        <v>24</v>
      </c>
      <c r="AS612" s="766">
        <v>182</v>
      </c>
      <c r="AT612" s="765">
        <v>272</v>
      </c>
      <c r="AU612" s="767">
        <v>4.2300000000000004</v>
      </c>
      <c r="AV612" s="768">
        <v>23.8</v>
      </c>
      <c r="AW612" s="765">
        <v>1970</v>
      </c>
      <c r="AX612" s="765">
        <v>6840</v>
      </c>
      <c r="AY612" s="765">
        <v>232</v>
      </c>
      <c r="AZ612" s="765">
        <v>2210</v>
      </c>
      <c r="BA612" s="765">
        <v>12.1</v>
      </c>
      <c r="BB612" s="765">
        <v>136</v>
      </c>
      <c r="BC612" s="765">
        <v>34</v>
      </c>
      <c r="BD612" s="765">
        <v>219</v>
      </c>
      <c r="BE612" s="767">
        <v>0.24427316120835721</v>
      </c>
      <c r="BF612" s="768">
        <v>586.20000000000005</v>
      </c>
      <c r="BG612" s="765">
        <v>510</v>
      </c>
      <c r="BH612" s="765">
        <v>1040</v>
      </c>
      <c r="BI612" s="765">
        <v>26100</v>
      </c>
      <c r="BJ612" s="765">
        <v>14.9</v>
      </c>
      <c r="BK612" s="765">
        <v>315</v>
      </c>
      <c r="BL612" s="771">
        <v>1080</v>
      </c>
    </row>
    <row r="613" spans="35:64" x14ac:dyDescent="0.3">
      <c r="AI613" s="763" t="s">
        <v>1041</v>
      </c>
      <c r="AJ613" s="764">
        <v>27900</v>
      </c>
      <c r="AK613" s="765">
        <v>560</v>
      </c>
      <c r="AL613" s="765">
        <v>18.3</v>
      </c>
      <c r="AM613" s="765">
        <v>318</v>
      </c>
      <c r="AN613" s="765">
        <v>29.2</v>
      </c>
      <c r="AO613" s="767" t="s">
        <v>1042</v>
      </c>
      <c r="AP613" s="767">
        <v>63</v>
      </c>
      <c r="AQ613" s="769">
        <v>32</v>
      </c>
      <c r="AR613" s="769">
        <v>21</v>
      </c>
      <c r="AS613" s="766">
        <v>166</v>
      </c>
      <c r="AT613" s="765">
        <v>248</v>
      </c>
      <c r="AU613" s="767">
        <v>4.57</v>
      </c>
      <c r="AV613" s="768">
        <v>26.4</v>
      </c>
      <c r="AW613" s="765">
        <v>1770</v>
      </c>
      <c r="AX613" s="765">
        <v>6220</v>
      </c>
      <c r="AY613" s="765">
        <v>241</v>
      </c>
      <c r="AZ613" s="765">
        <v>8670</v>
      </c>
      <c r="BA613" s="765">
        <v>225</v>
      </c>
      <c r="BB613" s="765">
        <v>1410</v>
      </c>
      <c r="BC613" s="765">
        <v>76.7</v>
      </c>
      <c r="BD613" s="765">
        <v>2180</v>
      </c>
      <c r="BE613" s="767">
        <v>0.50594018558708098</v>
      </c>
      <c r="BF613" s="768">
        <v>543.6</v>
      </c>
      <c r="BG613" s="765">
        <v>17000</v>
      </c>
      <c r="BH613" s="765">
        <v>16600</v>
      </c>
      <c r="BI613" s="765">
        <v>43400</v>
      </c>
      <c r="BJ613" s="765">
        <v>143</v>
      </c>
      <c r="BK613" s="765">
        <v>1660</v>
      </c>
      <c r="BL613" s="771">
        <v>4320</v>
      </c>
    </row>
    <row r="614" spans="35:64" x14ac:dyDescent="0.3">
      <c r="AI614" s="763" t="s">
        <v>1043</v>
      </c>
      <c r="AJ614" s="764">
        <v>25000</v>
      </c>
      <c r="AK614" s="765">
        <v>554</v>
      </c>
      <c r="AL614" s="765">
        <v>16.5</v>
      </c>
      <c r="AM614" s="765">
        <v>316</v>
      </c>
      <c r="AN614" s="765">
        <v>26.3</v>
      </c>
      <c r="AO614" s="767" t="s">
        <v>1044</v>
      </c>
      <c r="AP614" s="767">
        <v>59</v>
      </c>
      <c r="AQ614" s="769">
        <v>31</v>
      </c>
      <c r="AR614" s="769">
        <v>21</v>
      </c>
      <c r="AS614" s="766">
        <v>147</v>
      </c>
      <c r="AT614" s="765">
        <v>219</v>
      </c>
      <c r="AU614" s="767">
        <v>5.45</v>
      </c>
      <c r="AV614" s="768">
        <v>27.4</v>
      </c>
      <c r="AW614" s="765">
        <v>1510</v>
      </c>
      <c r="AX614" s="765">
        <v>5390</v>
      </c>
      <c r="AY614" s="765">
        <v>239</v>
      </c>
      <c r="AZ614" s="765">
        <v>7810</v>
      </c>
      <c r="BA614" s="765">
        <v>202</v>
      </c>
      <c r="BB614" s="765">
        <v>1270</v>
      </c>
      <c r="BC614" s="765">
        <v>76.400000000000006</v>
      </c>
      <c r="BD614" s="765">
        <v>1960</v>
      </c>
      <c r="BE614" s="767">
        <v>0.50192534385699195</v>
      </c>
      <c r="BF614" s="768">
        <v>539.4</v>
      </c>
      <c r="BG614" s="765">
        <v>12800</v>
      </c>
      <c r="BH614" s="765">
        <v>14700</v>
      </c>
      <c r="BI614" s="765">
        <v>42900</v>
      </c>
      <c r="BJ614" s="765">
        <v>128</v>
      </c>
      <c r="BK614" s="765">
        <v>1510</v>
      </c>
      <c r="BL614" s="771">
        <v>3890</v>
      </c>
    </row>
    <row r="615" spans="35:64" x14ac:dyDescent="0.3">
      <c r="AI615" s="763" t="s">
        <v>1045</v>
      </c>
      <c r="AJ615" s="764">
        <v>23100</v>
      </c>
      <c r="AK615" s="765">
        <v>551</v>
      </c>
      <c r="AL615" s="765">
        <v>15.2</v>
      </c>
      <c r="AM615" s="765">
        <v>315</v>
      </c>
      <c r="AN615" s="765">
        <v>24.4</v>
      </c>
      <c r="AO615" s="767" t="s">
        <v>1046</v>
      </c>
      <c r="AP615" s="767">
        <v>56</v>
      </c>
      <c r="AQ615" s="769">
        <v>30</v>
      </c>
      <c r="AR615" s="769">
        <v>21</v>
      </c>
      <c r="AS615" s="766">
        <v>132</v>
      </c>
      <c r="AT615" s="765">
        <v>196</v>
      </c>
      <c r="AU615" s="767">
        <v>6.01</v>
      </c>
      <c r="AV615" s="768">
        <v>30.4</v>
      </c>
      <c r="AW615" s="765">
        <v>1340</v>
      </c>
      <c r="AX615" s="765">
        <v>4840</v>
      </c>
      <c r="AY615" s="765">
        <v>238</v>
      </c>
      <c r="AZ615" s="765">
        <v>7060</v>
      </c>
      <c r="BA615" s="765">
        <v>180</v>
      </c>
      <c r="BB615" s="765">
        <v>1140</v>
      </c>
      <c r="BC615" s="765">
        <v>75.7</v>
      </c>
      <c r="BD615" s="765">
        <v>1760</v>
      </c>
      <c r="BE615" s="767">
        <v>0.49591674407536829</v>
      </c>
      <c r="BF615" s="768">
        <v>536.5</v>
      </c>
      <c r="BG615" s="765">
        <v>9770</v>
      </c>
      <c r="BH615" s="765">
        <v>13000</v>
      </c>
      <c r="BI615" s="765">
        <v>42200</v>
      </c>
      <c r="BJ615" s="765">
        <v>115</v>
      </c>
      <c r="BK615" s="765">
        <v>1370</v>
      </c>
      <c r="BL615" s="771">
        <v>3510</v>
      </c>
    </row>
    <row r="616" spans="35:64" x14ac:dyDescent="0.3">
      <c r="AI616" s="763" t="s">
        <v>1047</v>
      </c>
      <c r="AJ616" s="764">
        <v>21100</v>
      </c>
      <c r="AK616" s="765">
        <v>546</v>
      </c>
      <c r="AL616" s="765">
        <v>14</v>
      </c>
      <c r="AM616" s="765">
        <v>313</v>
      </c>
      <c r="AN616" s="765">
        <v>22.2</v>
      </c>
      <c r="AO616" s="767" t="s">
        <v>1048</v>
      </c>
      <c r="AP616" s="767">
        <v>51</v>
      </c>
      <c r="AQ616" s="769">
        <v>29</v>
      </c>
      <c r="AR616" s="769">
        <v>21</v>
      </c>
      <c r="AS616" s="766">
        <v>122</v>
      </c>
      <c r="AT616" s="765">
        <v>182</v>
      </c>
      <c r="AU616" s="767">
        <v>6.45</v>
      </c>
      <c r="AV616" s="768">
        <v>33</v>
      </c>
      <c r="AW616" s="765">
        <v>1240</v>
      </c>
      <c r="AX616" s="765">
        <v>4480</v>
      </c>
      <c r="AY616" s="765">
        <v>233</v>
      </c>
      <c r="AZ616" s="765">
        <v>6110</v>
      </c>
      <c r="BA616" s="765">
        <v>157</v>
      </c>
      <c r="BB616" s="765">
        <v>986</v>
      </c>
      <c r="BC616" s="765">
        <v>75</v>
      </c>
      <c r="BD616" s="765">
        <v>1520</v>
      </c>
      <c r="BE616" s="767">
        <v>0.4937745499084415</v>
      </c>
      <c r="BF616" s="768">
        <v>530.79999999999995</v>
      </c>
      <c r="BG616" s="765">
        <v>6420</v>
      </c>
      <c r="BH616" s="765">
        <v>11000</v>
      </c>
      <c r="BI616" s="765">
        <v>42200</v>
      </c>
      <c r="BJ616" s="765">
        <v>98</v>
      </c>
      <c r="BK616" s="765">
        <v>1160</v>
      </c>
      <c r="BL616" s="771">
        <v>3040</v>
      </c>
    </row>
    <row r="617" spans="35:64" x14ac:dyDescent="0.3">
      <c r="AI617" s="763" t="s">
        <v>1049</v>
      </c>
      <c r="AJ617" s="764">
        <v>19200</v>
      </c>
      <c r="AK617" s="765">
        <v>543</v>
      </c>
      <c r="AL617" s="765">
        <v>12.7</v>
      </c>
      <c r="AM617" s="765">
        <v>312</v>
      </c>
      <c r="AN617" s="765">
        <v>20.3</v>
      </c>
      <c r="AO617" s="767" t="s">
        <v>1050</v>
      </c>
      <c r="AP617" s="767">
        <v>48</v>
      </c>
      <c r="AQ617" s="769">
        <v>29</v>
      </c>
      <c r="AR617" s="769">
        <v>21</v>
      </c>
      <c r="AS617" s="766">
        <v>111</v>
      </c>
      <c r="AT617" s="768">
        <v>165</v>
      </c>
      <c r="AU617" s="767">
        <v>7.05</v>
      </c>
      <c r="AV617" s="768">
        <v>35.799999999999997</v>
      </c>
      <c r="AW617" s="765">
        <v>1110</v>
      </c>
      <c r="AX617" s="765">
        <v>4060</v>
      </c>
      <c r="AY617" s="765">
        <v>231</v>
      </c>
      <c r="AZ617" s="765">
        <v>5460</v>
      </c>
      <c r="BA617" s="765">
        <v>139</v>
      </c>
      <c r="BB617" s="765">
        <v>877</v>
      </c>
      <c r="BC617" s="765">
        <v>74.400000000000006</v>
      </c>
      <c r="BD617" s="765">
        <v>1350</v>
      </c>
      <c r="BE617" s="767">
        <v>0.48904663807357768</v>
      </c>
      <c r="BF617" s="768">
        <v>527.70000000000005</v>
      </c>
      <c r="BG617" s="765">
        <v>4700</v>
      </c>
      <c r="BH617" s="765">
        <v>9640</v>
      </c>
      <c r="BI617" s="765">
        <v>41700</v>
      </c>
      <c r="BJ617" s="765">
        <v>86.6</v>
      </c>
      <c r="BK617" s="765">
        <v>1040</v>
      </c>
      <c r="BL617" s="771">
        <v>2710</v>
      </c>
    </row>
    <row r="618" spans="35:64" x14ac:dyDescent="0.3">
      <c r="AI618" s="763" t="s">
        <v>1051</v>
      </c>
      <c r="AJ618" s="764">
        <v>17600</v>
      </c>
      <c r="AK618" s="765">
        <v>549</v>
      </c>
      <c r="AL618" s="765">
        <v>14.7</v>
      </c>
      <c r="AM618" s="773">
        <v>214</v>
      </c>
      <c r="AN618" s="765">
        <v>23.6</v>
      </c>
      <c r="AO618" s="767" t="s">
        <v>1052</v>
      </c>
      <c r="AP618" s="767">
        <v>46</v>
      </c>
      <c r="AQ618" s="769">
        <v>28</v>
      </c>
      <c r="AR618" s="769">
        <v>21</v>
      </c>
      <c r="AS618" s="766">
        <v>101</v>
      </c>
      <c r="AT618" s="768">
        <v>150</v>
      </c>
      <c r="AU618" s="767">
        <v>7.68</v>
      </c>
      <c r="AV618" s="768">
        <v>39.6</v>
      </c>
      <c r="AW618" s="765">
        <v>1010</v>
      </c>
      <c r="AX618" s="765">
        <v>3710</v>
      </c>
      <c r="AY618" s="765">
        <v>231</v>
      </c>
      <c r="AZ618" s="765">
        <v>5040</v>
      </c>
      <c r="BA618" s="765">
        <v>127</v>
      </c>
      <c r="BB618" s="765">
        <v>808</v>
      </c>
      <c r="BC618" s="765">
        <v>74.2</v>
      </c>
      <c r="BD618" s="765">
        <v>1240</v>
      </c>
      <c r="BE618" s="767">
        <v>0.48604789826378259</v>
      </c>
      <c r="BF618" s="768">
        <v>526.6</v>
      </c>
      <c r="BG618" s="765">
        <v>3740</v>
      </c>
      <c r="BH618" s="765">
        <v>8820</v>
      </c>
      <c r="BI618" s="765">
        <v>41500</v>
      </c>
      <c r="BJ618" s="765">
        <v>79.7</v>
      </c>
      <c r="BK618" s="765">
        <v>963</v>
      </c>
      <c r="BL618" s="771">
        <v>2500</v>
      </c>
    </row>
    <row r="619" spans="35:64" x14ac:dyDescent="0.3">
      <c r="AI619" s="763" t="s">
        <v>1053</v>
      </c>
      <c r="AJ619" s="764">
        <v>15700</v>
      </c>
      <c r="AK619" s="765">
        <v>544</v>
      </c>
      <c r="AL619" s="765">
        <v>13.1</v>
      </c>
      <c r="AM619" s="773">
        <v>212</v>
      </c>
      <c r="AN619" s="765">
        <v>21.2</v>
      </c>
      <c r="AO619" s="767" t="s">
        <v>1054</v>
      </c>
      <c r="AP619" s="767">
        <v>44</v>
      </c>
      <c r="AQ619" s="769">
        <v>27</v>
      </c>
      <c r="AR619" s="769">
        <v>21</v>
      </c>
      <c r="AS619" s="766">
        <v>93</v>
      </c>
      <c r="AT619" s="768">
        <v>138</v>
      </c>
      <c r="AU619" s="767">
        <v>4.53</v>
      </c>
      <c r="AV619" s="768">
        <v>34.1</v>
      </c>
      <c r="AW619" s="765">
        <v>861</v>
      </c>
      <c r="AX619" s="765">
        <v>3140</v>
      </c>
      <c r="AY619" s="765">
        <v>230</v>
      </c>
      <c r="AZ619" s="765">
        <v>4550</v>
      </c>
      <c r="BA619" s="765">
        <v>114</v>
      </c>
      <c r="BB619" s="765">
        <v>726</v>
      </c>
      <c r="BC619" s="765">
        <v>73.400000000000006</v>
      </c>
      <c r="BD619" s="765">
        <v>1110</v>
      </c>
      <c r="BE619" s="767">
        <v>0.4817786612221146</v>
      </c>
      <c r="BF619" s="768">
        <v>523.79999999999995</v>
      </c>
      <c r="BG619" s="765">
        <v>2830</v>
      </c>
      <c r="BH619" s="765">
        <v>7790</v>
      </c>
      <c r="BI619" s="765">
        <v>41000</v>
      </c>
      <c r="BJ619" s="765">
        <v>71.2</v>
      </c>
      <c r="BK619" s="765">
        <v>869</v>
      </c>
      <c r="BL619" s="771">
        <v>2260</v>
      </c>
    </row>
    <row r="620" spans="35:64" x14ac:dyDescent="0.3">
      <c r="AI620" s="763" t="s">
        <v>1055</v>
      </c>
      <c r="AJ620" s="764">
        <v>13900</v>
      </c>
      <c r="AK620" s="765">
        <v>539</v>
      </c>
      <c r="AL620" s="765">
        <v>11.6</v>
      </c>
      <c r="AM620" s="765">
        <v>211</v>
      </c>
      <c r="AN620" s="765">
        <v>18.8</v>
      </c>
      <c r="AO620" s="767" t="s">
        <v>1056</v>
      </c>
      <c r="AP620" s="767">
        <v>42</v>
      </c>
      <c r="AQ620" s="769">
        <v>27</v>
      </c>
      <c r="AR620" s="769">
        <v>21</v>
      </c>
      <c r="AS620" s="766">
        <v>83</v>
      </c>
      <c r="AT620" s="768">
        <v>123</v>
      </c>
      <c r="AU620" s="767">
        <v>5</v>
      </c>
      <c r="AV620" s="768">
        <v>38.299999999999997</v>
      </c>
      <c r="AW620" s="765">
        <v>761</v>
      </c>
      <c r="AX620" s="765">
        <v>2800</v>
      </c>
      <c r="AY620" s="765">
        <v>229</v>
      </c>
      <c r="AZ620" s="765">
        <v>4150</v>
      </c>
      <c r="BA620" s="765">
        <v>103</v>
      </c>
      <c r="BB620" s="765">
        <v>659</v>
      </c>
      <c r="BC620" s="765">
        <v>73.2</v>
      </c>
      <c r="BD620" s="765">
        <v>1010</v>
      </c>
      <c r="BE620" s="767">
        <v>0.47891802474227813</v>
      </c>
      <c r="BF620" s="768">
        <v>522.70000000000005</v>
      </c>
      <c r="BG620" s="765">
        <v>2160</v>
      </c>
      <c r="BH620" s="765">
        <v>7030</v>
      </c>
      <c r="BI620" s="765">
        <v>40800</v>
      </c>
      <c r="BJ620" s="765">
        <v>64.599999999999994</v>
      </c>
      <c r="BK620" s="765">
        <v>794</v>
      </c>
      <c r="BL620" s="771">
        <v>2060</v>
      </c>
    </row>
    <row r="621" spans="35:64" x14ac:dyDescent="0.3">
      <c r="AI621" s="763" t="s">
        <v>1057</v>
      </c>
      <c r="AJ621" s="764">
        <v>12900</v>
      </c>
      <c r="AK621" s="765">
        <v>537</v>
      </c>
      <c r="AL621" s="765">
        <v>10.9</v>
      </c>
      <c r="AM621" s="765">
        <v>210</v>
      </c>
      <c r="AN621" s="765">
        <v>17.399999999999999</v>
      </c>
      <c r="AO621" s="767" t="s">
        <v>1058</v>
      </c>
      <c r="AP621" s="767">
        <v>40</v>
      </c>
      <c r="AQ621" s="765">
        <v>23</v>
      </c>
      <c r="AR621" s="769">
        <v>21</v>
      </c>
      <c r="AS621" s="766">
        <v>73</v>
      </c>
      <c r="AT621" s="768">
        <v>109</v>
      </c>
      <c r="AU621" s="767">
        <v>5.61</v>
      </c>
      <c r="AV621" s="768">
        <v>43.2</v>
      </c>
      <c r="AW621" s="765">
        <v>667</v>
      </c>
      <c r="AX621" s="765">
        <v>2480</v>
      </c>
      <c r="AY621" s="765">
        <v>221</v>
      </c>
      <c r="AZ621" s="765">
        <v>3610</v>
      </c>
      <c r="BA621" s="765">
        <v>38.700000000000003</v>
      </c>
      <c r="BB621" s="765">
        <v>362</v>
      </c>
      <c r="BC621" s="765">
        <v>46.9</v>
      </c>
      <c r="BD621" s="765">
        <v>569</v>
      </c>
      <c r="BE621" s="767">
        <v>0.31995634908777298</v>
      </c>
      <c r="BF621" s="768">
        <v>525.4</v>
      </c>
      <c r="BG621" s="765">
        <v>2500</v>
      </c>
      <c r="BH621" s="765">
        <v>2670</v>
      </c>
      <c r="BI621" s="765">
        <v>28100</v>
      </c>
      <c r="BJ621" s="765">
        <v>35.5</v>
      </c>
      <c r="BK621" s="765">
        <v>618</v>
      </c>
      <c r="BL621" s="771">
        <v>1790</v>
      </c>
    </row>
    <row r="622" spans="35:64" x14ac:dyDescent="0.3">
      <c r="AI622" s="763" t="s">
        <v>1059</v>
      </c>
      <c r="AJ622" s="764">
        <v>11800</v>
      </c>
      <c r="AK622" s="765">
        <v>533</v>
      </c>
      <c r="AL622" s="765">
        <v>10.199999999999999</v>
      </c>
      <c r="AM622" s="765">
        <v>209</v>
      </c>
      <c r="AN622" s="765">
        <v>15.6</v>
      </c>
      <c r="AO622" s="767" t="s">
        <v>1060</v>
      </c>
      <c r="AP622" s="767">
        <v>38</v>
      </c>
      <c r="AQ622" s="765">
        <v>22</v>
      </c>
      <c r="AR622" s="769">
        <v>21</v>
      </c>
      <c r="AS622" s="766">
        <v>68</v>
      </c>
      <c r="AT622" s="768">
        <v>101</v>
      </c>
      <c r="AU622" s="767">
        <v>6.03</v>
      </c>
      <c r="AV622" s="768">
        <v>46.1</v>
      </c>
      <c r="AW622" s="765">
        <v>617</v>
      </c>
      <c r="AX622" s="765">
        <v>2300</v>
      </c>
      <c r="AY622" s="765">
        <v>220</v>
      </c>
      <c r="AZ622" s="765">
        <v>3210</v>
      </c>
      <c r="BA622" s="765">
        <v>33.799999999999997</v>
      </c>
      <c r="BB622" s="765">
        <v>319</v>
      </c>
      <c r="BC622" s="765">
        <v>46.4</v>
      </c>
      <c r="BD622" s="765">
        <v>499</v>
      </c>
      <c r="BE622" s="767">
        <v>0.31590256656956123</v>
      </c>
      <c r="BF622" s="768">
        <v>522.79999999999995</v>
      </c>
      <c r="BG622" s="765">
        <v>1800</v>
      </c>
      <c r="BH622" s="765">
        <v>2310</v>
      </c>
      <c r="BI622" s="765">
        <v>27700</v>
      </c>
      <c r="BJ622" s="765">
        <v>31.1</v>
      </c>
      <c r="BK622" s="765">
        <v>551</v>
      </c>
      <c r="BL622" s="771">
        <v>1590</v>
      </c>
    </row>
    <row r="623" spans="35:64" x14ac:dyDescent="0.3">
      <c r="AI623" s="763" t="s">
        <v>1061</v>
      </c>
      <c r="AJ623" s="764">
        <v>10500</v>
      </c>
      <c r="AK623" s="765">
        <v>528</v>
      </c>
      <c r="AL623" s="765">
        <v>9.5</v>
      </c>
      <c r="AM623" s="765">
        <v>209</v>
      </c>
      <c r="AN623" s="765">
        <v>13.3</v>
      </c>
      <c r="AO623" s="767" t="s">
        <v>1062</v>
      </c>
      <c r="AP623" s="767">
        <v>36</v>
      </c>
      <c r="AQ623" s="765">
        <v>21</v>
      </c>
      <c r="AR623" s="769">
        <v>21</v>
      </c>
      <c r="AS623" s="766">
        <v>62</v>
      </c>
      <c r="AT623" s="768">
        <v>92</v>
      </c>
      <c r="AU623" s="767">
        <v>6.7</v>
      </c>
      <c r="AV623" s="768">
        <v>49.2</v>
      </c>
      <c r="AW623" s="765">
        <v>552</v>
      </c>
      <c r="AX623" s="765">
        <v>2070</v>
      </c>
      <c r="AY623" s="765">
        <v>219</v>
      </c>
      <c r="AZ623" s="765">
        <v>2830</v>
      </c>
      <c r="BA623" s="765">
        <v>29.5</v>
      </c>
      <c r="BB623" s="765">
        <v>280</v>
      </c>
      <c r="BC623" s="765">
        <v>46.1</v>
      </c>
      <c r="BD623" s="765">
        <v>437</v>
      </c>
      <c r="BE623" s="767">
        <v>0.31295879613224048</v>
      </c>
      <c r="BF623" s="768">
        <v>520.20000000000005</v>
      </c>
      <c r="BG623" s="765">
        <v>1260</v>
      </c>
      <c r="BH623" s="765">
        <v>2000</v>
      </c>
      <c r="BI623" s="765">
        <v>27400</v>
      </c>
      <c r="BJ623" s="765">
        <v>27.2</v>
      </c>
      <c r="BK623" s="765">
        <v>488</v>
      </c>
      <c r="BL623" s="771">
        <v>1400</v>
      </c>
    </row>
    <row r="624" spans="35:64" x14ac:dyDescent="0.3">
      <c r="AI624" s="763" t="s">
        <v>1063</v>
      </c>
      <c r="AJ624" s="764">
        <v>9120</v>
      </c>
      <c r="AK624" s="765">
        <v>524</v>
      </c>
      <c r="AL624" s="765">
        <v>8.9</v>
      </c>
      <c r="AM624" s="765">
        <v>207</v>
      </c>
      <c r="AN624" s="765">
        <v>10.9</v>
      </c>
      <c r="AO624" s="767" t="s">
        <v>1064</v>
      </c>
      <c r="AP624" s="767">
        <v>34</v>
      </c>
      <c r="AQ624" s="769">
        <v>21</v>
      </c>
      <c r="AR624" s="769">
        <v>21</v>
      </c>
      <c r="AS624" s="766">
        <v>55</v>
      </c>
      <c r="AT624" s="768">
        <v>82</v>
      </c>
      <c r="AU624" s="767">
        <v>7.86</v>
      </c>
      <c r="AV624" s="768">
        <v>52.8</v>
      </c>
      <c r="AW624" s="765">
        <v>477</v>
      </c>
      <c r="AX624" s="765">
        <v>1810</v>
      </c>
      <c r="AY624" s="765">
        <v>219</v>
      </c>
      <c r="AZ624" s="765">
        <v>2620</v>
      </c>
      <c r="BA624" s="765">
        <v>26.9</v>
      </c>
      <c r="BB624" s="765">
        <v>256</v>
      </c>
      <c r="BC624" s="765">
        <v>45.6</v>
      </c>
      <c r="BD624" s="765">
        <v>400</v>
      </c>
      <c r="BE624" s="767">
        <v>0.31016443573238672</v>
      </c>
      <c r="BF624" s="768">
        <v>519.6</v>
      </c>
      <c r="BG624" s="765">
        <v>1020</v>
      </c>
      <c r="BH624" s="765">
        <v>1820</v>
      </c>
      <c r="BI624" s="765">
        <v>27300</v>
      </c>
      <c r="BJ624" s="765">
        <v>24.9</v>
      </c>
      <c r="BK624" s="765">
        <v>450</v>
      </c>
      <c r="BL624" s="771">
        <v>1290</v>
      </c>
    </row>
    <row r="625" spans="35:64" x14ac:dyDescent="0.3">
      <c r="AI625" s="763" t="s">
        <v>1065</v>
      </c>
      <c r="AJ625" s="764">
        <v>10800</v>
      </c>
      <c r="AK625" s="765">
        <v>535</v>
      </c>
      <c r="AL625" s="765">
        <v>10.3</v>
      </c>
      <c r="AM625" s="765">
        <v>166</v>
      </c>
      <c r="AN625" s="765">
        <v>16.5</v>
      </c>
      <c r="AO625" s="773" t="s">
        <v>1066</v>
      </c>
      <c r="AP625" s="773">
        <v>32</v>
      </c>
      <c r="AQ625" s="769">
        <v>20</v>
      </c>
      <c r="AR625" s="769">
        <v>21</v>
      </c>
      <c r="AS625" s="766">
        <v>48</v>
      </c>
      <c r="AT625" s="768">
        <v>72</v>
      </c>
      <c r="AU625" s="767">
        <v>9.5</v>
      </c>
      <c r="AV625" s="768">
        <v>56.4</v>
      </c>
      <c r="AW625" s="765">
        <v>400</v>
      </c>
      <c r="AX625" s="765">
        <v>1520</v>
      </c>
      <c r="AY625" s="765">
        <v>217</v>
      </c>
      <c r="AZ625" s="765">
        <v>2360</v>
      </c>
      <c r="BA625" s="765">
        <v>23.8</v>
      </c>
      <c r="BB625" s="765">
        <v>228</v>
      </c>
      <c r="BC625" s="765">
        <v>44.9</v>
      </c>
      <c r="BD625" s="765">
        <v>355</v>
      </c>
      <c r="BE625" s="767">
        <v>0.30655496020816642</v>
      </c>
      <c r="BF625" s="768">
        <v>517.4</v>
      </c>
      <c r="BG625" s="765">
        <v>762</v>
      </c>
      <c r="BH625" s="765">
        <v>1590</v>
      </c>
      <c r="BI625" s="765">
        <v>27000</v>
      </c>
      <c r="BJ625" s="765">
        <v>22</v>
      </c>
      <c r="BK625" s="765">
        <v>401</v>
      </c>
      <c r="BL625" s="771">
        <v>1160</v>
      </c>
    </row>
    <row r="626" spans="35:64" x14ac:dyDescent="0.3">
      <c r="AI626" s="763" t="s">
        <v>1067</v>
      </c>
      <c r="AJ626" s="764">
        <v>9520</v>
      </c>
      <c r="AK626" s="765">
        <v>529</v>
      </c>
      <c r="AL626" s="765">
        <v>9.6999999999999993</v>
      </c>
      <c r="AM626" s="765">
        <v>166</v>
      </c>
      <c r="AN626" s="765">
        <v>13.6</v>
      </c>
      <c r="AO626" s="767" t="s">
        <v>1068</v>
      </c>
      <c r="AP626" s="767">
        <v>30</v>
      </c>
      <c r="AQ626" s="769">
        <v>20</v>
      </c>
      <c r="AR626" s="769">
        <v>21</v>
      </c>
      <c r="AS626" s="766">
        <v>57</v>
      </c>
      <c r="AT626" s="768">
        <v>85</v>
      </c>
      <c r="AU626" s="767">
        <v>5.03</v>
      </c>
      <c r="AV626" s="768">
        <v>48.7</v>
      </c>
      <c r="AW626" s="765">
        <v>485</v>
      </c>
      <c r="AX626" s="765">
        <v>1810</v>
      </c>
      <c r="AY626" s="765">
        <v>213</v>
      </c>
      <c r="AZ626" s="765">
        <v>2060</v>
      </c>
      <c r="BA626" s="765">
        <v>20.3</v>
      </c>
      <c r="BB626" s="765">
        <v>194</v>
      </c>
      <c r="BC626" s="765">
        <v>44</v>
      </c>
      <c r="BD626" s="765">
        <v>303</v>
      </c>
      <c r="BE626" s="767">
        <v>0.30186372131350248</v>
      </c>
      <c r="BF626" s="768">
        <v>514.70000000000005</v>
      </c>
      <c r="BG626" s="765">
        <v>518</v>
      </c>
      <c r="BH626" s="765">
        <v>1340</v>
      </c>
      <c r="BI626" s="765">
        <v>26900</v>
      </c>
      <c r="BJ626" s="765">
        <v>18.7</v>
      </c>
      <c r="BK626" s="765">
        <v>341</v>
      </c>
      <c r="BL626" s="771">
        <v>1010</v>
      </c>
    </row>
    <row r="627" spans="35:64" x14ac:dyDescent="0.3">
      <c r="AI627" s="763" t="s">
        <v>1069</v>
      </c>
      <c r="AJ627" s="764">
        <v>8370</v>
      </c>
      <c r="AK627" s="765">
        <v>525</v>
      </c>
      <c r="AL627" s="765">
        <v>8.9</v>
      </c>
      <c r="AM627" s="765">
        <v>165</v>
      </c>
      <c r="AN627" s="765">
        <v>11.4</v>
      </c>
      <c r="AO627" s="767" t="s">
        <v>1070</v>
      </c>
      <c r="AP627" s="767">
        <v>28</v>
      </c>
      <c r="AQ627" s="769">
        <v>20</v>
      </c>
      <c r="AR627" s="769">
        <v>21</v>
      </c>
      <c r="AS627" s="766">
        <v>50</v>
      </c>
      <c r="AT627" s="765">
        <v>74</v>
      </c>
      <c r="AU627" s="767">
        <v>6.1</v>
      </c>
      <c r="AV627" s="768">
        <v>51.7</v>
      </c>
      <c r="AW627" s="765">
        <v>411</v>
      </c>
      <c r="AX627" s="765">
        <v>1550</v>
      </c>
      <c r="AY627" s="765">
        <v>209</v>
      </c>
      <c r="AZ627" s="765">
        <v>1750</v>
      </c>
      <c r="BA627" s="765">
        <v>16.2</v>
      </c>
      <c r="BB627" s="765">
        <v>156</v>
      </c>
      <c r="BC627" s="765">
        <v>42.1</v>
      </c>
      <c r="BD627" s="765">
        <v>244</v>
      </c>
      <c r="BE627" s="767">
        <v>0.29361850697157471</v>
      </c>
      <c r="BF627" s="768">
        <v>513.1</v>
      </c>
      <c r="BG627" s="765">
        <v>334</v>
      </c>
      <c r="BH627" s="765">
        <v>1060</v>
      </c>
      <c r="BI627" s="765">
        <v>26600</v>
      </c>
      <c r="BJ627" s="765">
        <v>15</v>
      </c>
      <c r="BK627" s="765">
        <v>277</v>
      </c>
      <c r="BL627" s="771">
        <v>859</v>
      </c>
    </row>
    <row r="628" spans="35:64" x14ac:dyDescent="0.3">
      <c r="AI628" s="763" t="s">
        <v>1071</v>
      </c>
      <c r="AJ628" s="764">
        <v>59100</v>
      </c>
      <c r="AK628" s="765">
        <v>567</v>
      </c>
      <c r="AL628" s="765">
        <v>38.6</v>
      </c>
      <c r="AM628" s="765">
        <v>305</v>
      </c>
      <c r="AN628" s="765">
        <v>69.599999999999994</v>
      </c>
      <c r="AO628" s="773" t="s">
        <v>1072</v>
      </c>
      <c r="AP628" s="773">
        <v>33</v>
      </c>
      <c r="AQ628" s="769">
        <v>20</v>
      </c>
      <c r="AR628" s="769">
        <v>21</v>
      </c>
      <c r="AS628" s="766">
        <v>44</v>
      </c>
      <c r="AT628" s="765">
        <v>66</v>
      </c>
      <c r="AU628" s="767">
        <v>7.24</v>
      </c>
      <c r="AV628" s="768">
        <v>56.4</v>
      </c>
      <c r="AW628" s="765">
        <v>351</v>
      </c>
      <c r="AX628" s="765">
        <v>1340</v>
      </c>
      <c r="AY628" s="765">
        <v>212</v>
      </c>
      <c r="AZ628" s="765">
        <v>2100</v>
      </c>
      <c r="BA628" s="765">
        <v>12.6</v>
      </c>
      <c r="BB628" s="765">
        <v>152</v>
      </c>
      <c r="BC628" s="765">
        <v>34.200000000000003</v>
      </c>
      <c r="BD628" s="765">
        <v>242</v>
      </c>
      <c r="BE628" s="767">
        <v>0.23904533423112689</v>
      </c>
      <c r="BF628" s="768">
        <v>518.5</v>
      </c>
      <c r="BG628" s="765">
        <v>737</v>
      </c>
      <c r="BH628" s="765">
        <v>849</v>
      </c>
      <c r="BI628" s="765">
        <v>21500</v>
      </c>
      <c r="BJ628" s="765">
        <v>14.7</v>
      </c>
      <c r="BK628" s="765">
        <v>333</v>
      </c>
      <c r="BL628" s="771">
        <v>1030</v>
      </c>
    </row>
    <row r="629" spans="35:64" x14ac:dyDescent="0.3">
      <c r="AI629" s="763" t="s">
        <v>1073</v>
      </c>
      <c r="AJ629" s="764">
        <v>53700</v>
      </c>
      <c r="AK629" s="765">
        <v>555</v>
      </c>
      <c r="AL629" s="765">
        <v>35.6</v>
      </c>
      <c r="AM629" s="765">
        <v>302</v>
      </c>
      <c r="AN629" s="765">
        <v>63.5</v>
      </c>
      <c r="AO629" s="767" t="s">
        <v>1074</v>
      </c>
      <c r="AP629" s="767">
        <v>30</v>
      </c>
      <c r="AQ629" s="769">
        <v>20</v>
      </c>
      <c r="AR629" s="770">
        <v>21</v>
      </c>
      <c r="AS629" s="766">
        <v>311</v>
      </c>
      <c r="AT629" s="765">
        <v>464</v>
      </c>
      <c r="AU629" s="767">
        <v>2.19</v>
      </c>
      <c r="AV629" s="768">
        <v>11.1</v>
      </c>
      <c r="AW629" s="765">
        <v>2900</v>
      </c>
      <c r="AX629" s="765">
        <v>10200</v>
      </c>
      <c r="AY629" s="765">
        <v>208</v>
      </c>
      <c r="AZ629" s="765">
        <v>1810</v>
      </c>
      <c r="BA629" s="765">
        <v>10.4</v>
      </c>
      <c r="BB629" s="765">
        <v>125</v>
      </c>
      <c r="BC629" s="765">
        <v>33.1</v>
      </c>
      <c r="BD629" s="765">
        <v>200</v>
      </c>
      <c r="BE629" s="767">
        <v>0.23394782360942201</v>
      </c>
      <c r="BF629" s="768">
        <v>515.4</v>
      </c>
      <c r="BG629" s="765">
        <v>480</v>
      </c>
      <c r="BH629" s="765">
        <v>692</v>
      </c>
      <c r="BI629" s="765">
        <v>21400</v>
      </c>
      <c r="BJ629" s="765">
        <v>12.1</v>
      </c>
      <c r="BK629" s="765">
        <v>274</v>
      </c>
      <c r="BL629" s="771">
        <v>887</v>
      </c>
    </row>
    <row r="630" spans="35:64" x14ac:dyDescent="0.3">
      <c r="AI630" s="763" t="s">
        <v>1075</v>
      </c>
      <c r="AJ630" s="764">
        <v>48900</v>
      </c>
      <c r="AK630" s="765">
        <v>545</v>
      </c>
      <c r="AL630" s="765">
        <v>32.5</v>
      </c>
      <c r="AM630" s="765">
        <v>299</v>
      </c>
      <c r="AN630" s="765">
        <v>58.4</v>
      </c>
      <c r="AO630" s="767" t="s">
        <v>1076</v>
      </c>
      <c r="AP630" s="767">
        <v>28</v>
      </c>
      <c r="AQ630" s="769">
        <v>20</v>
      </c>
      <c r="AR630" s="770">
        <v>21</v>
      </c>
      <c r="AS630" s="766">
        <v>283</v>
      </c>
      <c r="AT630" s="765">
        <v>421</v>
      </c>
      <c r="AU630" s="767">
        <v>2.38</v>
      </c>
      <c r="AV630" s="768">
        <v>12</v>
      </c>
      <c r="AW630" s="765">
        <v>2570</v>
      </c>
      <c r="AX630" s="765">
        <v>9250</v>
      </c>
      <c r="AY630" s="765">
        <v>205</v>
      </c>
      <c r="AZ630" s="765">
        <v>1560</v>
      </c>
      <c r="BA630" s="765">
        <v>8.57</v>
      </c>
      <c r="BB630" s="765">
        <v>104</v>
      </c>
      <c r="BC630" s="765">
        <v>32</v>
      </c>
      <c r="BD630" s="765">
        <v>166</v>
      </c>
      <c r="BE630" s="767">
        <v>0.22787932179286999</v>
      </c>
      <c r="BF630" s="768">
        <v>513.6</v>
      </c>
      <c r="BG630" s="765">
        <v>320</v>
      </c>
      <c r="BH630" s="765">
        <v>565</v>
      </c>
      <c r="BI630" s="765">
        <v>21200</v>
      </c>
      <c r="BJ630" s="765">
        <v>9.9600000000000009</v>
      </c>
      <c r="BK630" s="765">
        <v>228</v>
      </c>
      <c r="BL630" s="771">
        <v>764</v>
      </c>
    </row>
    <row r="631" spans="35:64" x14ac:dyDescent="0.3">
      <c r="AI631" s="763" t="s">
        <v>1077</v>
      </c>
      <c r="AJ631" s="764">
        <v>44400</v>
      </c>
      <c r="AK631" s="765">
        <v>535</v>
      </c>
      <c r="AL631" s="765">
        <v>29.5</v>
      </c>
      <c r="AM631" s="765">
        <v>296</v>
      </c>
      <c r="AN631" s="765">
        <v>53.6</v>
      </c>
      <c r="AO631" s="767" t="s">
        <v>1078</v>
      </c>
      <c r="AP631" s="767">
        <v>86</v>
      </c>
      <c r="AQ631" s="769">
        <v>35</v>
      </c>
      <c r="AR631" s="770">
        <v>18</v>
      </c>
      <c r="AS631" s="766">
        <v>258</v>
      </c>
      <c r="AT631" s="765">
        <v>384</v>
      </c>
      <c r="AU631" s="767">
        <v>2.56</v>
      </c>
      <c r="AV631" s="768">
        <v>13.2</v>
      </c>
      <c r="AW631" s="765">
        <v>2290</v>
      </c>
      <c r="AX631" s="765">
        <v>8420</v>
      </c>
      <c r="AY631" s="765">
        <v>222</v>
      </c>
      <c r="AZ631" s="765">
        <v>12400</v>
      </c>
      <c r="BA631" s="765">
        <v>331</v>
      </c>
      <c r="BB631" s="765">
        <v>2170</v>
      </c>
      <c r="BC631" s="765">
        <v>74.900000000000006</v>
      </c>
      <c r="BD631" s="765">
        <v>3400</v>
      </c>
      <c r="BE631" s="767">
        <v>0.50535361627286512</v>
      </c>
      <c r="BF631" s="768">
        <v>497.4</v>
      </c>
      <c r="BG631" s="765">
        <v>73100</v>
      </c>
      <c r="BH631" s="765">
        <v>20500</v>
      </c>
      <c r="BI631" s="765">
        <v>37900</v>
      </c>
      <c r="BJ631" s="765">
        <v>201</v>
      </c>
      <c r="BK631" s="765">
        <v>2310</v>
      </c>
      <c r="BL631" s="771">
        <v>6160</v>
      </c>
    </row>
    <row r="632" spans="35:64" x14ac:dyDescent="0.3">
      <c r="AI632" s="763" t="s">
        <v>1079</v>
      </c>
      <c r="AJ632" s="764">
        <v>40000</v>
      </c>
      <c r="AK632" s="765">
        <v>525</v>
      </c>
      <c r="AL632" s="765">
        <v>26.9</v>
      </c>
      <c r="AM632" s="765">
        <v>293</v>
      </c>
      <c r="AN632" s="765">
        <v>48.5</v>
      </c>
      <c r="AO632" s="767" t="s">
        <v>1080</v>
      </c>
      <c r="AP632" s="767">
        <v>80</v>
      </c>
      <c r="AQ632" s="769">
        <v>33</v>
      </c>
      <c r="AR632" s="770">
        <v>18</v>
      </c>
      <c r="AS632" s="766">
        <v>234</v>
      </c>
      <c r="AT632" s="765">
        <v>349</v>
      </c>
      <c r="AU632" s="767">
        <v>2.76</v>
      </c>
      <c r="AV632" s="768">
        <v>14.5</v>
      </c>
      <c r="AW632" s="765">
        <v>2040</v>
      </c>
      <c r="AX632" s="765">
        <v>7640</v>
      </c>
      <c r="AY632" s="765">
        <v>219</v>
      </c>
      <c r="AZ632" s="765">
        <v>11100</v>
      </c>
      <c r="BA632" s="765">
        <v>293</v>
      </c>
      <c r="BB632" s="765">
        <v>1940</v>
      </c>
      <c r="BC632" s="765">
        <v>73.900000000000006</v>
      </c>
      <c r="BD632" s="765">
        <v>3030</v>
      </c>
      <c r="BE632" s="767">
        <v>0.49618011486884073</v>
      </c>
      <c r="BF632" s="768">
        <v>491.5</v>
      </c>
      <c r="BG632" s="765">
        <v>55700</v>
      </c>
      <c r="BH632" s="765">
        <v>17700</v>
      </c>
      <c r="BI632" s="765">
        <v>37100</v>
      </c>
      <c r="BJ632" s="765">
        <v>178</v>
      </c>
      <c r="BK632" s="765">
        <v>2080</v>
      </c>
      <c r="BL632" s="771">
        <v>5530</v>
      </c>
    </row>
    <row r="633" spans="35:64" x14ac:dyDescent="0.3">
      <c r="AI633" s="763" t="s">
        <v>1081</v>
      </c>
      <c r="AJ633" s="764">
        <v>36400</v>
      </c>
      <c r="AK633" s="765">
        <v>517</v>
      </c>
      <c r="AL633" s="765">
        <v>24.4</v>
      </c>
      <c r="AM633" s="765">
        <v>291</v>
      </c>
      <c r="AN633" s="765">
        <v>44.4</v>
      </c>
      <c r="AO633" s="767" t="s">
        <v>1082</v>
      </c>
      <c r="AP633" s="767">
        <v>75</v>
      </c>
      <c r="AQ633" s="769">
        <v>31</v>
      </c>
      <c r="AR633" s="770">
        <v>18</v>
      </c>
      <c r="AS633" s="766">
        <v>211</v>
      </c>
      <c r="AT633" s="765">
        <v>315</v>
      </c>
      <c r="AU633" s="767">
        <v>3.02</v>
      </c>
      <c r="AV633" s="768">
        <v>15.9</v>
      </c>
      <c r="AW633" s="765">
        <v>1800</v>
      </c>
      <c r="AX633" s="765">
        <v>6850</v>
      </c>
      <c r="AY633" s="765">
        <v>217</v>
      </c>
      <c r="AZ633" s="765">
        <v>10000</v>
      </c>
      <c r="BA633" s="765">
        <v>261</v>
      </c>
      <c r="BB633" s="765">
        <v>1750</v>
      </c>
      <c r="BC633" s="765">
        <v>73.099999999999994</v>
      </c>
      <c r="BD633" s="765">
        <v>2730</v>
      </c>
      <c r="BE633" s="767">
        <v>0.48875026471776711</v>
      </c>
      <c r="BF633" s="768">
        <v>486.6</v>
      </c>
      <c r="BG633" s="765">
        <v>42700</v>
      </c>
      <c r="BH633" s="765">
        <v>15500</v>
      </c>
      <c r="BI633" s="765">
        <v>36400</v>
      </c>
      <c r="BJ633" s="765">
        <v>159</v>
      </c>
      <c r="BK633" s="765">
        <v>1890</v>
      </c>
      <c r="BL633" s="771">
        <v>4990</v>
      </c>
    </row>
    <row r="634" spans="35:64" x14ac:dyDescent="0.3">
      <c r="AI634" s="763" t="s">
        <v>1083</v>
      </c>
      <c r="AJ634" s="764">
        <v>33100</v>
      </c>
      <c r="AK634" s="765">
        <v>509</v>
      </c>
      <c r="AL634" s="765">
        <v>22.6</v>
      </c>
      <c r="AM634" s="765">
        <v>289</v>
      </c>
      <c r="AN634" s="765">
        <v>40.4</v>
      </c>
      <c r="AO634" s="767" t="s">
        <v>1084</v>
      </c>
      <c r="AP634" s="767">
        <v>70</v>
      </c>
      <c r="AQ634" s="769">
        <v>30</v>
      </c>
      <c r="AR634" s="770">
        <v>18</v>
      </c>
      <c r="AS634" s="766">
        <v>192</v>
      </c>
      <c r="AT634" s="765">
        <v>286</v>
      </c>
      <c r="AU634" s="767">
        <v>3.28</v>
      </c>
      <c r="AV634" s="768">
        <v>17.5</v>
      </c>
      <c r="AW634" s="765">
        <v>1610</v>
      </c>
      <c r="AX634" s="765">
        <v>6230</v>
      </c>
      <c r="AY634" s="765">
        <v>214</v>
      </c>
      <c r="AZ634" s="765">
        <v>9010</v>
      </c>
      <c r="BA634" s="765">
        <v>233</v>
      </c>
      <c r="BB634" s="765">
        <v>1570</v>
      </c>
      <c r="BC634" s="765">
        <v>72.3</v>
      </c>
      <c r="BD634" s="765">
        <v>2440</v>
      </c>
      <c r="BE634" s="767">
        <v>0.48180992625143187</v>
      </c>
      <c r="BF634" s="768">
        <v>481.4</v>
      </c>
      <c r="BG634" s="765">
        <v>32800</v>
      </c>
      <c r="BH634" s="765">
        <v>13500</v>
      </c>
      <c r="BI634" s="765">
        <v>35600</v>
      </c>
      <c r="BJ634" s="765">
        <v>141</v>
      </c>
      <c r="BK634" s="765">
        <v>1720</v>
      </c>
      <c r="BL634" s="771">
        <v>4490</v>
      </c>
    </row>
    <row r="635" spans="35:64" x14ac:dyDescent="0.3">
      <c r="AI635" s="763" t="s">
        <v>1085</v>
      </c>
      <c r="AJ635" s="764">
        <v>29900</v>
      </c>
      <c r="AK635" s="765">
        <v>501</v>
      </c>
      <c r="AL635" s="765">
        <v>20.6</v>
      </c>
      <c r="AM635" s="765">
        <v>287</v>
      </c>
      <c r="AN635" s="765">
        <v>36.6</v>
      </c>
      <c r="AO635" s="767" t="s">
        <v>1086</v>
      </c>
      <c r="AP635" s="767">
        <v>65</v>
      </c>
      <c r="AQ635" s="769">
        <v>29</v>
      </c>
      <c r="AR635" s="770">
        <v>18</v>
      </c>
      <c r="AS635" s="766">
        <v>175</v>
      </c>
      <c r="AT635" s="765">
        <v>260</v>
      </c>
      <c r="AU635" s="767">
        <v>3.58</v>
      </c>
      <c r="AV635" s="768">
        <v>18.899999999999999</v>
      </c>
      <c r="AW635" s="765">
        <v>1440</v>
      </c>
      <c r="AX635" s="765">
        <v>5650</v>
      </c>
      <c r="AY635" s="765">
        <v>212</v>
      </c>
      <c r="AZ635" s="765">
        <v>8020</v>
      </c>
      <c r="BA635" s="765">
        <v>204</v>
      </c>
      <c r="BB635" s="765">
        <v>1390</v>
      </c>
      <c r="BC635" s="765">
        <v>71.400000000000006</v>
      </c>
      <c r="BD635" s="765">
        <v>2160</v>
      </c>
      <c r="BE635" s="767">
        <v>0.47388913696936519</v>
      </c>
      <c r="BF635" s="768">
        <v>476.5</v>
      </c>
      <c r="BG635" s="765">
        <v>24300</v>
      </c>
      <c r="BH635" s="765">
        <v>11600</v>
      </c>
      <c r="BI635" s="765">
        <v>34900</v>
      </c>
      <c r="BJ635" s="765">
        <v>124</v>
      </c>
      <c r="BK635" s="765">
        <v>1540</v>
      </c>
      <c r="BL635" s="771">
        <v>4000</v>
      </c>
    </row>
    <row r="636" spans="35:64" x14ac:dyDescent="0.3">
      <c r="AI636" s="763" t="s">
        <v>1087</v>
      </c>
      <c r="AJ636" s="764">
        <v>27100</v>
      </c>
      <c r="AK636" s="765">
        <v>495</v>
      </c>
      <c r="AL636" s="765">
        <v>18.5</v>
      </c>
      <c r="AM636" s="765">
        <v>285</v>
      </c>
      <c r="AN636" s="765">
        <v>33.5</v>
      </c>
      <c r="AO636" s="767" t="s">
        <v>1088</v>
      </c>
      <c r="AP636" s="767">
        <v>61</v>
      </c>
      <c r="AQ636" s="769">
        <v>27</v>
      </c>
      <c r="AR636" s="770">
        <v>18</v>
      </c>
      <c r="AS636" s="766">
        <v>158</v>
      </c>
      <c r="AT636" s="765">
        <v>235</v>
      </c>
      <c r="AU636" s="767">
        <v>3.92</v>
      </c>
      <c r="AV636" s="768">
        <v>20.8</v>
      </c>
      <c r="AW636" s="765">
        <v>1270</v>
      </c>
      <c r="AX636" s="765">
        <v>5080</v>
      </c>
      <c r="AY636" s="765">
        <v>210</v>
      </c>
      <c r="AZ636" s="765">
        <v>7240</v>
      </c>
      <c r="BA636" s="765">
        <v>183</v>
      </c>
      <c r="BB636" s="765">
        <v>1260</v>
      </c>
      <c r="BC636" s="765">
        <v>70.900000000000006</v>
      </c>
      <c r="BD636" s="765">
        <v>1940</v>
      </c>
      <c r="BE636" s="767">
        <v>0.46829421415661932</v>
      </c>
      <c r="BF636" s="768">
        <v>472.6</v>
      </c>
      <c r="BG636" s="765">
        <v>18600</v>
      </c>
      <c r="BH636" s="765">
        <v>10200</v>
      </c>
      <c r="BI636" s="765">
        <v>34400</v>
      </c>
      <c r="BJ636" s="765">
        <v>111</v>
      </c>
      <c r="BK636" s="765">
        <v>1400</v>
      </c>
      <c r="BL636" s="771">
        <v>3610</v>
      </c>
    </row>
    <row r="637" spans="35:64" x14ac:dyDescent="0.3">
      <c r="AI637" s="763" t="s">
        <v>1089</v>
      </c>
      <c r="AJ637" s="764">
        <v>24600</v>
      </c>
      <c r="AK637" s="765">
        <v>489</v>
      </c>
      <c r="AL637" s="765">
        <v>17</v>
      </c>
      <c r="AM637" s="765">
        <v>283</v>
      </c>
      <c r="AN637" s="765">
        <v>30.5</v>
      </c>
      <c r="AO637" s="767" t="s">
        <v>1090</v>
      </c>
      <c r="AP637" s="767">
        <v>62</v>
      </c>
      <c r="AQ637" s="769">
        <v>32</v>
      </c>
      <c r="AR637" s="770">
        <v>18</v>
      </c>
      <c r="AS637" s="766">
        <v>143</v>
      </c>
      <c r="AT637" s="765">
        <v>213</v>
      </c>
      <c r="AU637" s="767">
        <v>4.25</v>
      </c>
      <c r="AV637" s="768">
        <v>23.1</v>
      </c>
      <c r="AW637" s="765">
        <v>1140</v>
      </c>
      <c r="AX637" s="765">
        <v>4620</v>
      </c>
      <c r="AY637" s="765">
        <v>208</v>
      </c>
      <c r="AZ637" s="765">
        <v>6530</v>
      </c>
      <c r="BA637" s="765">
        <v>163</v>
      </c>
      <c r="BB637" s="765">
        <v>1130</v>
      </c>
      <c r="BC637" s="765">
        <v>70.099999999999994</v>
      </c>
      <c r="BD637" s="765">
        <v>1740</v>
      </c>
      <c r="BE637" s="767">
        <v>0.46235806341138869</v>
      </c>
      <c r="BF637" s="768">
        <v>468.6</v>
      </c>
      <c r="BG637" s="765">
        <v>14100</v>
      </c>
      <c r="BH637" s="765">
        <v>8950</v>
      </c>
      <c r="BI637" s="765">
        <v>33900</v>
      </c>
      <c r="BJ637" s="765">
        <v>98.8</v>
      </c>
      <c r="BK637" s="765">
        <v>1260</v>
      </c>
      <c r="BL637" s="771">
        <v>3250</v>
      </c>
    </row>
    <row r="638" spans="35:64" x14ac:dyDescent="0.3">
      <c r="AI638" s="763" t="s">
        <v>1091</v>
      </c>
      <c r="AJ638" s="764">
        <v>22600</v>
      </c>
      <c r="AK638" s="765">
        <v>482</v>
      </c>
      <c r="AL638" s="765">
        <v>16.600000000000001</v>
      </c>
      <c r="AM638" s="765">
        <v>286</v>
      </c>
      <c r="AN638" s="765">
        <v>26.9</v>
      </c>
      <c r="AO638" s="767" t="s">
        <v>1092</v>
      </c>
      <c r="AP638" s="767">
        <v>58</v>
      </c>
      <c r="AQ638" s="769">
        <v>31</v>
      </c>
      <c r="AR638" s="770">
        <v>18</v>
      </c>
      <c r="AS638" s="766">
        <v>130</v>
      </c>
      <c r="AT638" s="765">
        <v>193</v>
      </c>
      <c r="AU638" s="767">
        <v>4.6399999999999997</v>
      </c>
      <c r="AV638" s="768">
        <v>25.2</v>
      </c>
      <c r="AW638" s="765">
        <v>1020</v>
      </c>
      <c r="AX638" s="765">
        <v>4190</v>
      </c>
      <c r="AY638" s="765">
        <v>206</v>
      </c>
      <c r="AZ638" s="765">
        <v>5840</v>
      </c>
      <c r="BA638" s="765">
        <v>145</v>
      </c>
      <c r="BB638" s="765">
        <v>1010</v>
      </c>
      <c r="BC638" s="765">
        <v>69.5</v>
      </c>
      <c r="BD638" s="765">
        <v>1550</v>
      </c>
      <c r="BE638" s="767">
        <v>0.45739826070711859</v>
      </c>
      <c r="BF638" s="768">
        <v>464.4</v>
      </c>
      <c r="BG638" s="765">
        <v>10500</v>
      </c>
      <c r="BH638" s="765">
        <v>7790</v>
      </c>
      <c r="BI638" s="765">
        <v>33300</v>
      </c>
      <c r="BJ638" s="765">
        <v>87.5</v>
      </c>
      <c r="BK638" s="765">
        <v>1130</v>
      </c>
      <c r="BL638" s="771">
        <v>2910</v>
      </c>
    </row>
    <row r="639" spans="35:64" x14ac:dyDescent="0.3">
      <c r="AI639" s="763" t="s">
        <v>1093</v>
      </c>
      <c r="AJ639" s="764">
        <v>20100</v>
      </c>
      <c r="AK639" s="765">
        <v>476</v>
      </c>
      <c r="AL639" s="765">
        <v>15</v>
      </c>
      <c r="AM639" s="765">
        <v>284</v>
      </c>
      <c r="AN639" s="765">
        <v>23.9</v>
      </c>
      <c r="AO639" s="767" t="s">
        <v>1094</v>
      </c>
      <c r="AP639" s="767">
        <v>55</v>
      </c>
      <c r="AQ639" s="769">
        <v>30</v>
      </c>
      <c r="AR639" s="770">
        <v>18</v>
      </c>
      <c r="AS639" s="766">
        <v>119</v>
      </c>
      <c r="AT639" s="768">
        <v>177</v>
      </c>
      <c r="AU639" s="767">
        <v>5.32</v>
      </c>
      <c r="AV639" s="768">
        <v>25.8</v>
      </c>
      <c r="AW639" s="765">
        <v>910</v>
      </c>
      <c r="AX639" s="765">
        <v>3780</v>
      </c>
      <c r="AY639" s="765">
        <v>205</v>
      </c>
      <c r="AZ639" s="765">
        <v>5270</v>
      </c>
      <c r="BA639" s="765">
        <v>129</v>
      </c>
      <c r="BB639" s="765">
        <v>909</v>
      </c>
      <c r="BC639" s="765">
        <v>69.099999999999994</v>
      </c>
      <c r="BD639" s="765">
        <v>1400</v>
      </c>
      <c r="BE639" s="767">
        <v>0.45173240448332908</v>
      </c>
      <c r="BF639" s="768">
        <v>461.5</v>
      </c>
      <c r="BG639" s="765">
        <v>7970</v>
      </c>
      <c r="BH639" s="765">
        <v>6890</v>
      </c>
      <c r="BI639" s="765">
        <v>32900</v>
      </c>
      <c r="BJ639" s="765">
        <v>78.5</v>
      </c>
      <c r="BK639" s="765">
        <v>1030</v>
      </c>
      <c r="BL639" s="771">
        <v>2630</v>
      </c>
    </row>
    <row r="640" spans="35:64" x14ac:dyDescent="0.3">
      <c r="AI640" s="763" t="s">
        <v>1095</v>
      </c>
      <c r="AJ640" s="764">
        <v>18400</v>
      </c>
      <c r="AK640" s="765">
        <v>472</v>
      </c>
      <c r="AL640" s="765">
        <v>13.6</v>
      </c>
      <c r="AM640" s="765">
        <v>283</v>
      </c>
      <c r="AN640" s="765">
        <v>22.1</v>
      </c>
      <c r="AO640" s="767" t="s">
        <v>1096</v>
      </c>
      <c r="AP640" s="767">
        <v>52</v>
      </c>
      <c r="AQ640" s="769">
        <v>29</v>
      </c>
      <c r="AR640" s="770">
        <v>18</v>
      </c>
      <c r="AS640" s="766">
        <v>106</v>
      </c>
      <c r="AT640" s="768">
        <v>158</v>
      </c>
      <c r="AU640" s="767">
        <v>5.94</v>
      </c>
      <c r="AV640" s="768">
        <v>28.5</v>
      </c>
      <c r="AW640" s="765">
        <v>796</v>
      </c>
      <c r="AX640" s="765">
        <v>3350</v>
      </c>
      <c r="AY640" s="765">
        <v>204</v>
      </c>
      <c r="AZ640" s="765">
        <v>4750</v>
      </c>
      <c r="BA640" s="765">
        <v>115</v>
      </c>
      <c r="BB640" s="765">
        <v>816</v>
      </c>
      <c r="BC640" s="765">
        <v>68.5</v>
      </c>
      <c r="BD640" s="765">
        <v>1250</v>
      </c>
      <c r="BE640" s="767">
        <v>0.44636034506462219</v>
      </c>
      <c r="BF640" s="768">
        <v>458.5</v>
      </c>
      <c r="BG640" s="765">
        <v>6030</v>
      </c>
      <c r="BH640" s="765">
        <v>6060</v>
      </c>
      <c r="BI640" s="765">
        <v>32400</v>
      </c>
      <c r="BJ640" s="765">
        <v>70</v>
      </c>
      <c r="BK640" s="765">
        <v>930</v>
      </c>
      <c r="BL640" s="771">
        <v>2370</v>
      </c>
    </row>
    <row r="641" spans="35:64" x14ac:dyDescent="0.3">
      <c r="AI641" s="763" t="s">
        <v>1097</v>
      </c>
      <c r="AJ641" s="764">
        <v>16400</v>
      </c>
      <c r="AK641" s="765">
        <v>467</v>
      </c>
      <c r="AL641" s="765">
        <v>12.2</v>
      </c>
      <c r="AM641" s="765">
        <v>282</v>
      </c>
      <c r="AN641" s="765">
        <v>19.600000000000001</v>
      </c>
      <c r="AO641" s="767" t="s">
        <v>1098</v>
      </c>
      <c r="AP641" s="767">
        <v>49</v>
      </c>
      <c r="AQ641" s="769">
        <v>29</v>
      </c>
      <c r="AR641" s="770">
        <v>18</v>
      </c>
      <c r="AS641" s="766">
        <v>97</v>
      </c>
      <c r="AT641" s="768">
        <v>144</v>
      </c>
      <c r="AU641" s="767">
        <v>6.4</v>
      </c>
      <c r="AV641" s="768">
        <v>31.5</v>
      </c>
      <c r="AW641" s="765">
        <v>726</v>
      </c>
      <c r="AX641" s="765">
        <v>3080</v>
      </c>
      <c r="AY641" s="765">
        <v>201</v>
      </c>
      <c r="AZ641" s="765">
        <v>4280</v>
      </c>
      <c r="BA641" s="765">
        <v>105</v>
      </c>
      <c r="BB641" s="765">
        <v>735</v>
      </c>
      <c r="BC641" s="765">
        <v>68.2</v>
      </c>
      <c r="BD641" s="765">
        <v>1130</v>
      </c>
      <c r="BE641" s="767">
        <v>0.44714785296301102</v>
      </c>
      <c r="BF641" s="768">
        <v>455.1</v>
      </c>
      <c r="BG641" s="765">
        <v>4410</v>
      </c>
      <c r="BH641" s="765">
        <v>5440</v>
      </c>
      <c r="BI641" s="765">
        <v>32500</v>
      </c>
      <c r="BJ641" s="765">
        <v>62.6</v>
      </c>
      <c r="BK641" s="765">
        <v>825</v>
      </c>
      <c r="BL641" s="771">
        <v>2130</v>
      </c>
    </row>
    <row r="642" spans="35:64" x14ac:dyDescent="0.3">
      <c r="AI642" s="763" t="s">
        <v>1099</v>
      </c>
      <c r="AJ642" s="764">
        <v>14400</v>
      </c>
      <c r="AK642" s="765">
        <v>463</v>
      </c>
      <c r="AL642" s="765">
        <v>10.8</v>
      </c>
      <c r="AM642" s="773">
        <v>280</v>
      </c>
      <c r="AN642" s="765">
        <v>17.3</v>
      </c>
      <c r="AO642" s="767" t="s">
        <v>1100</v>
      </c>
      <c r="AP642" s="767">
        <v>46</v>
      </c>
      <c r="AQ642" s="769">
        <v>28</v>
      </c>
      <c r="AR642" s="770">
        <v>18</v>
      </c>
      <c r="AS642" s="766">
        <v>86</v>
      </c>
      <c r="AT642" s="768">
        <v>128</v>
      </c>
      <c r="AU642" s="767">
        <v>7.19</v>
      </c>
      <c r="AV642" s="768">
        <v>35.1</v>
      </c>
      <c r="AW642" s="765">
        <v>637</v>
      </c>
      <c r="AX642" s="765">
        <v>2730</v>
      </c>
      <c r="AY642" s="765">
        <v>199</v>
      </c>
      <c r="AZ642" s="765">
        <v>3780</v>
      </c>
      <c r="BA642" s="765">
        <v>91.4</v>
      </c>
      <c r="BB642" s="765">
        <v>643</v>
      </c>
      <c r="BC642" s="765">
        <v>67.400000000000006</v>
      </c>
      <c r="BD642" s="765">
        <v>989</v>
      </c>
      <c r="BE642" s="767">
        <v>0.44161454163744462</v>
      </c>
      <c r="BF642" s="768">
        <v>452.1</v>
      </c>
      <c r="BG642" s="765">
        <v>3120</v>
      </c>
      <c r="BH642" s="765">
        <v>4670</v>
      </c>
      <c r="BI642" s="765">
        <v>32100</v>
      </c>
      <c r="BJ642" s="765">
        <v>54.5</v>
      </c>
      <c r="BK642" s="765">
        <v>727</v>
      </c>
      <c r="BL642" s="771">
        <v>1880</v>
      </c>
    </row>
    <row r="643" spans="35:64" x14ac:dyDescent="0.3">
      <c r="AI643" s="763" t="s">
        <v>1101</v>
      </c>
      <c r="AJ643" s="764">
        <v>13500</v>
      </c>
      <c r="AK643" s="765">
        <v>469</v>
      </c>
      <c r="AL643" s="765">
        <v>12.6</v>
      </c>
      <c r="AM643" s="773">
        <v>194</v>
      </c>
      <c r="AN643" s="765">
        <v>20.6</v>
      </c>
      <c r="AO643" s="767" t="s">
        <v>1102</v>
      </c>
      <c r="AP643" s="767">
        <v>44</v>
      </c>
      <c r="AQ643" s="769">
        <v>27</v>
      </c>
      <c r="AR643" s="770">
        <v>18</v>
      </c>
      <c r="AS643" s="766">
        <v>76</v>
      </c>
      <c r="AT643" s="768">
        <v>113</v>
      </c>
      <c r="AU643" s="767">
        <v>8.09</v>
      </c>
      <c r="AV643" s="768">
        <v>39.700000000000003</v>
      </c>
      <c r="AW643" s="765">
        <v>556</v>
      </c>
      <c r="AX643" s="765">
        <v>2400</v>
      </c>
      <c r="AY643" s="765">
        <v>199</v>
      </c>
      <c r="AZ643" s="765">
        <v>3450</v>
      </c>
      <c r="BA643" s="765">
        <v>83.6</v>
      </c>
      <c r="BB643" s="765">
        <v>591</v>
      </c>
      <c r="BC643" s="765">
        <v>67.400000000000006</v>
      </c>
      <c r="BD643" s="765">
        <v>906</v>
      </c>
      <c r="BE643" s="767">
        <v>0.43940126506982008</v>
      </c>
      <c r="BF643" s="768">
        <v>449.9</v>
      </c>
      <c r="BG643" s="765">
        <v>2440</v>
      </c>
      <c r="BH643" s="765">
        <v>4230</v>
      </c>
      <c r="BI643" s="765">
        <v>31800</v>
      </c>
      <c r="BJ643" s="765">
        <v>49.8</v>
      </c>
      <c r="BK643" s="765">
        <v>670</v>
      </c>
      <c r="BL643" s="771">
        <v>1720</v>
      </c>
    </row>
    <row r="644" spans="35:64" x14ac:dyDescent="0.3">
      <c r="AI644" s="763" t="s">
        <v>1103</v>
      </c>
      <c r="AJ644" s="764">
        <v>12300</v>
      </c>
      <c r="AK644" s="765">
        <v>466</v>
      </c>
      <c r="AL644" s="765">
        <v>11.4</v>
      </c>
      <c r="AM644" s="767">
        <v>193</v>
      </c>
      <c r="AN644" s="765">
        <v>19</v>
      </c>
      <c r="AO644" s="767" t="s">
        <v>1104</v>
      </c>
      <c r="AP644" s="767">
        <v>41</v>
      </c>
      <c r="AQ644" s="772">
        <v>26</v>
      </c>
      <c r="AR644" s="774">
        <v>18</v>
      </c>
      <c r="AS644" s="766">
        <v>71</v>
      </c>
      <c r="AT644" s="768">
        <v>106</v>
      </c>
      <c r="AU644" s="767">
        <v>4.71</v>
      </c>
      <c r="AV644" s="768">
        <v>34</v>
      </c>
      <c r="AW644" s="765">
        <v>488</v>
      </c>
      <c r="AX644" s="765">
        <v>2080</v>
      </c>
      <c r="AY644" s="765">
        <v>197</v>
      </c>
      <c r="AZ644" s="765">
        <v>3050</v>
      </c>
      <c r="BA644" s="765">
        <v>73.3</v>
      </c>
      <c r="BB644" s="765">
        <v>520</v>
      </c>
      <c r="BC644" s="765">
        <v>66.900000000000006</v>
      </c>
      <c r="BD644" s="765">
        <v>796</v>
      </c>
      <c r="BE644" s="767">
        <v>0.43587422300212603</v>
      </c>
      <c r="BF644" s="768">
        <v>447.4</v>
      </c>
      <c r="BG644" s="765">
        <v>1720</v>
      </c>
      <c r="BH644" s="765">
        <v>3670</v>
      </c>
      <c r="BI644" s="765">
        <v>31500</v>
      </c>
      <c r="BJ644" s="765">
        <v>43.6</v>
      </c>
      <c r="BK644" s="765">
        <v>591</v>
      </c>
      <c r="BL644" s="771">
        <v>1520</v>
      </c>
    </row>
    <row r="645" spans="35:64" x14ac:dyDescent="0.3">
      <c r="AI645" s="763" t="s">
        <v>1105</v>
      </c>
      <c r="AJ645" s="764">
        <v>11400</v>
      </c>
      <c r="AK645" s="765">
        <v>463</v>
      </c>
      <c r="AL645" s="765">
        <v>10.5</v>
      </c>
      <c r="AM645" s="767">
        <v>192</v>
      </c>
      <c r="AN645" s="765">
        <v>17.7</v>
      </c>
      <c r="AO645" s="767" t="s">
        <v>1106</v>
      </c>
      <c r="AP645" s="767">
        <v>39</v>
      </c>
      <c r="AQ645" s="765">
        <v>26</v>
      </c>
      <c r="AR645" s="774">
        <v>18</v>
      </c>
      <c r="AS645" s="766">
        <v>65</v>
      </c>
      <c r="AT645" s="768">
        <v>97</v>
      </c>
      <c r="AU645" s="767">
        <v>5.08</v>
      </c>
      <c r="AV645" s="768">
        <v>37.5</v>
      </c>
      <c r="AW645" s="765">
        <v>445</v>
      </c>
      <c r="AX645" s="765">
        <v>1910</v>
      </c>
      <c r="AY645" s="765">
        <v>196</v>
      </c>
      <c r="AZ645" s="765">
        <v>2670</v>
      </c>
      <c r="BA645" s="765">
        <v>63.3</v>
      </c>
      <c r="BB645" s="765">
        <v>452</v>
      </c>
      <c r="BC645" s="765">
        <v>66.3</v>
      </c>
      <c r="BD645" s="765">
        <v>691</v>
      </c>
      <c r="BE645" s="767">
        <v>0.43134318926760268</v>
      </c>
      <c r="BF645" s="768">
        <v>445.7</v>
      </c>
      <c r="BG645" s="765">
        <v>1180</v>
      </c>
      <c r="BH645" s="765">
        <v>3150</v>
      </c>
      <c r="BI645" s="765">
        <v>31200</v>
      </c>
      <c r="BJ645" s="765">
        <v>37.799999999999997</v>
      </c>
      <c r="BK645" s="765">
        <v>519</v>
      </c>
      <c r="BL645" s="771">
        <v>1330</v>
      </c>
    </row>
    <row r="646" spans="35:64" x14ac:dyDescent="0.3">
      <c r="AI646" s="763" t="s">
        <v>1107</v>
      </c>
      <c r="AJ646" s="764">
        <v>10400</v>
      </c>
      <c r="AK646" s="765">
        <v>460</v>
      </c>
      <c r="AL646" s="765">
        <v>9.9</v>
      </c>
      <c r="AM646" s="767">
        <v>191</v>
      </c>
      <c r="AN646" s="765">
        <v>16</v>
      </c>
      <c r="AO646" s="767" t="s">
        <v>1108</v>
      </c>
      <c r="AP646" s="767">
        <v>37</v>
      </c>
      <c r="AQ646" s="765">
        <v>22</v>
      </c>
      <c r="AR646" s="774">
        <v>18</v>
      </c>
      <c r="AS646" s="766">
        <v>60</v>
      </c>
      <c r="AT646" s="768">
        <v>89</v>
      </c>
      <c r="AU646" s="767">
        <v>5.42</v>
      </c>
      <c r="AV646" s="768">
        <v>40.700000000000003</v>
      </c>
      <c r="AW646" s="765">
        <v>410</v>
      </c>
      <c r="AX646" s="765">
        <v>1770</v>
      </c>
      <c r="AY646" s="765">
        <v>190</v>
      </c>
      <c r="AZ646" s="765">
        <v>2390</v>
      </c>
      <c r="BA646" s="765">
        <v>25.1</v>
      </c>
      <c r="BB646" s="765">
        <v>259</v>
      </c>
      <c r="BC646" s="765">
        <v>43.2</v>
      </c>
      <c r="BD646" s="765">
        <v>405</v>
      </c>
      <c r="BE646" s="767">
        <v>0.29240136734736588</v>
      </c>
      <c r="BF646" s="768">
        <v>448.4</v>
      </c>
      <c r="BG646" s="765">
        <v>1460</v>
      </c>
      <c r="BH646" s="765">
        <v>1260</v>
      </c>
      <c r="BI646" s="765">
        <v>21700</v>
      </c>
      <c r="BJ646" s="765">
        <v>21.7</v>
      </c>
      <c r="BK646" s="765">
        <v>419</v>
      </c>
      <c r="BL646" s="771">
        <v>1180</v>
      </c>
    </row>
    <row r="647" spans="35:64" x14ac:dyDescent="0.3">
      <c r="AI647" s="763" t="s">
        <v>1109</v>
      </c>
      <c r="AJ647" s="764">
        <v>9450</v>
      </c>
      <c r="AK647" s="765">
        <v>457</v>
      </c>
      <c r="AL647" s="765">
        <v>9</v>
      </c>
      <c r="AM647" s="773">
        <v>190</v>
      </c>
      <c r="AN647" s="765">
        <v>14.5</v>
      </c>
      <c r="AO647" s="767" t="s">
        <v>1110</v>
      </c>
      <c r="AP647" s="767">
        <v>36</v>
      </c>
      <c r="AQ647" s="765">
        <v>21</v>
      </c>
      <c r="AR647" s="774">
        <v>18</v>
      </c>
      <c r="AS647" s="766">
        <v>55</v>
      </c>
      <c r="AT647" s="768">
        <v>82</v>
      </c>
      <c r="AU647" s="767">
        <v>5.97</v>
      </c>
      <c r="AV647" s="768">
        <v>43.2</v>
      </c>
      <c r="AW647" s="765">
        <v>370</v>
      </c>
      <c r="AX647" s="765">
        <v>1610</v>
      </c>
      <c r="AY647" s="765">
        <v>190</v>
      </c>
      <c r="AZ647" s="765">
        <v>2180</v>
      </c>
      <c r="BA647" s="765">
        <v>22.8</v>
      </c>
      <c r="BB647" s="765">
        <v>237</v>
      </c>
      <c r="BC647" s="765">
        <v>43.1</v>
      </c>
      <c r="BD647" s="765">
        <v>368</v>
      </c>
      <c r="BE647" s="767">
        <v>0.29053150977657111</v>
      </c>
      <c r="BF647" s="768">
        <v>447</v>
      </c>
      <c r="BG647" s="765">
        <v>1130</v>
      </c>
      <c r="BH647" s="765">
        <v>1140</v>
      </c>
      <c r="BI647" s="765">
        <v>21600</v>
      </c>
      <c r="BJ647" s="765">
        <v>19.8</v>
      </c>
      <c r="BK647" s="765">
        <v>386</v>
      </c>
      <c r="BL647" s="771">
        <v>1080</v>
      </c>
    </row>
    <row r="648" spans="35:64" x14ac:dyDescent="0.3">
      <c r="AI648" s="763" t="s">
        <v>1111</v>
      </c>
      <c r="AJ648" s="764">
        <v>8560</v>
      </c>
      <c r="AK648" s="765">
        <v>454</v>
      </c>
      <c r="AL648" s="765">
        <v>8.5</v>
      </c>
      <c r="AM648" s="773">
        <v>190</v>
      </c>
      <c r="AN648" s="765">
        <v>12.7</v>
      </c>
      <c r="AO648" s="773" t="s">
        <v>1112</v>
      </c>
      <c r="AP648" s="773">
        <v>34</v>
      </c>
      <c r="AQ648" s="765">
        <v>20</v>
      </c>
      <c r="AR648" s="774">
        <v>18</v>
      </c>
      <c r="AS648" s="766">
        <v>50</v>
      </c>
      <c r="AT648" s="768">
        <v>74</v>
      </c>
      <c r="AU648" s="767">
        <v>6.55</v>
      </c>
      <c r="AV648" s="768">
        <v>47.6</v>
      </c>
      <c r="AW648" s="765">
        <v>333</v>
      </c>
      <c r="AX648" s="765">
        <v>1460</v>
      </c>
      <c r="AY648" s="765">
        <v>190</v>
      </c>
      <c r="AZ648" s="765">
        <v>2010</v>
      </c>
      <c r="BA648" s="765">
        <v>20.9</v>
      </c>
      <c r="BB648" s="765">
        <v>218</v>
      </c>
      <c r="BC648" s="765">
        <v>42.9</v>
      </c>
      <c r="BD648" s="765">
        <v>339</v>
      </c>
      <c r="BE648" s="767">
        <v>0.28860793881264218</v>
      </c>
      <c r="BF648" s="768">
        <v>445.3</v>
      </c>
      <c r="BG648" s="765">
        <v>907</v>
      </c>
      <c r="BH648" s="765">
        <v>1040</v>
      </c>
      <c r="BI648" s="765">
        <v>21400</v>
      </c>
      <c r="BJ648" s="765">
        <v>18.2</v>
      </c>
      <c r="BK648" s="765">
        <v>358</v>
      </c>
      <c r="BL648" s="771">
        <v>997</v>
      </c>
    </row>
    <row r="649" spans="35:64" x14ac:dyDescent="0.3">
      <c r="AI649" s="763" t="s">
        <v>1113</v>
      </c>
      <c r="AJ649" s="764">
        <v>7640</v>
      </c>
      <c r="AK649" s="765">
        <v>450</v>
      </c>
      <c r="AL649" s="765">
        <v>8.1</v>
      </c>
      <c r="AM649" s="765">
        <v>189</v>
      </c>
      <c r="AN649" s="765">
        <v>10.8</v>
      </c>
      <c r="AO649" s="767" t="s">
        <v>1114</v>
      </c>
      <c r="AP649" s="767">
        <v>33</v>
      </c>
      <c r="AQ649" s="765">
        <v>20</v>
      </c>
      <c r="AR649" s="774">
        <v>18</v>
      </c>
      <c r="AS649" s="766">
        <v>45</v>
      </c>
      <c r="AT649" s="768">
        <v>67</v>
      </c>
      <c r="AU649" s="767">
        <v>7.48</v>
      </c>
      <c r="AV649" s="768">
        <v>50.4</v>
      </c>
      <c r="AW649" s="765">
        <v>295</v>
      </c>
      <c r="AX649" s="765">
        <v>1300</v>
      </c>
      <c r="AY649" s="765">
        <v>188</v>
      </c>
      <c r="AZ649" s="765">
        <v>1830</v>
      </c>
      <c r="BA649" s="765">
        <v>18.600000000000001</v>
      </c>
      <c r="BB649" s="765">
        <v>195</v>
      </c>
      <c r="BC649" s="765">
        <v>42.2</v>
      </c>
      <c r="BD649" s="765">
        <v>303</v>
      </c>
      <c r="BE649" s="767">
        <v>0.28488918862732798</v>
      </c>
      <c r="BF649" s="768">
        <v>444</v>
      </c>
      <c r="BG649" s="765">
        <v>691</v>
      </c>
      <c r="BH649" s="765">
        <v>918</v>
      </c>
      <c r="BI649" s="765">
        <v>21200</v>
      </c>
      <c r="BJ649" s="765">
        <v>16.2</v>
      </c>
      <c r="BK649" s="765">
        <v>322</v>
      </c>
      <c r="BL649" s="771">
        <v>905</v>
      </c>
    </row>
    <row r="650" spans="35:64" x14ac:dyDescent="0.3">
      <c r="AI650" s="763" t="s">
        <v>1115</v>
      </c>
      <c r="AJ650" s="764">
        <v>8730</v>
      </c>
      <c r="AK650" s="765">
        <v>459</v>
      </c>
      <c r="AL650" s="765">
        <v>9.1</v>
      </c>
      <c r="AM650" s="765">
        <v>154</v>
      </c>
      <c r="AN650" s="765">
        <v>15.4</v>
      </c>
      <c r="AO650" s="773" t="s">
        <v>1116</v>
      </c>
      <c r="AP650" s="773">
        <v>31</v>
      </c>
      <c r="AQ650" s="765">
        <v>20</v>
      </c>
      <c r="AR650" s="774">
        <v>18</v>
      </c>
      <c r="AS650" s="766">
        <v>41</v>
      </c>
      <c r="AT650" s="765">
        <v>61</v>
      </c>
      <c r="AU650" s="767">
        <v>8.75</v>
      </c>
      <c r="AV650" s="768">
        <v>52.9</v>
      </c>
      <c r="AW650" s="765">
        <v>254</v>
      </c>
      <c r="AX650" s="765">
        <v>1130</v>
      </c>
      <c r="AY650" s="765">
        <v>188</v>
      </c>
      <c r="AZ650" s="765">
        <v>1650</v>
      </c>
      <c r="BA650" s="765">
        <v>16.600000000000001</v>
      </c>
      <c r="BB650" s="765">
        <v>175</v>
      </c>
      <c r="BC650" s="765">
        <v>41.9</v>
      </c>
      <c r="BD650" s="765">
        <v>271</v>
      </c>
      <c r="BE650" s="767">
        <v>0.28208060765991883</v>
      </c>
      <c r="BF650" s="768">
        <v>442.5</v>
      </c>
      <c r="BG650" s="765">
        <v>517</v>
      </c>
      <c r="BH650" s="765">
        <v>813</v>
      </c>
      <c r="BI650" s="765">
        <v>21000</v>
      </c>
      <c r="BJ650" s="765">
        <v>14.5</v>
      </c>
      <c r="BK650" s="765">
        <v>290</v>
      </c>
      <c r="BL650" s="771">
        <v>816</v>
      </c>
    </row>
    <row r="651" spans="35:64" x14ac:dyDescent="0.3">
      <c r="AI651" s="763" t="s">
        <v>1117</v>
      </c>
      <c r="AJ651" s="764">
        <v>7590</v>
      </c>
      <c r="AK651" s="765">
        <v>455</v>
      </c>
      <c r="AL651" s="765">
        <v>8</v>
      </c>
      <c r="AM651" s="765">
        <v>153</v>
      </c>
      <c r="AN651" s="765">
        <v>13.3</v>
      </c>
      <c r="AO651" s="773" t="s">
        <v>1118</v>
      </c>
      <c r="AP651" s="773">
        <v>29</v>
      </c>
      <c r="AQ651" s="765">
        <v>19</v>
      </c>
      <c r="AR651" s="774">
        <v>18</v>
      </c>
      <c r="AS651" s="766">
        <v>46</v>
      </c>
      <c r="AT651" s="768">
        <v>68</v>
      </c>
      <c r="AU651" s="767">
        <v>5</v>
      </c>
      <c r="AV651" s="768">
        <v>47.1</v>
      </c>
      <c r="AW651" s="765">
        <v>297</v>
      </c>
      <c r="AX651" s="765">
        <v>1290</v>
      </c>
      <c r="AY651" s="765">
        <v>186</v>
      </c>
      <c r="AZ651" s="765">
        <v>1470</v>
      </c>
      <c r="BA651" s="765">
        <v>14.5</v>
      </c>
      <c r="BB651" s="765">
        <v>153</v>
      </c>
      <c r="BC651" s="765">
        <v>41.2</v>
      </c>
      <c r="BD651" s="765">
        <v>238</v>
      </c>
      <c r="BE651" s="767">
        <v>0.27917635894499859</v>
      </c>
      <c r="BF651" s="768">
        <v>441.3</v>
      </c>
      <c r="BG651" s="765">
        <v>372</v>
      </c>
      <c r="BH651" s="765">
        <v>708</v>
      </c>
      <c r="BI651" s="765">
        <v>21000</v>
      </c>
      <c r="BJ651" s="765">
        <v>12.6</v>
      </c>
      <c r="BK651" s="765">
        <v>254</v>
      </c>
      <c r="BL651" s="771">
        <v>728</v>
      </c>
    </row>
    <row r="652" spans="35:64" x14ac:dyDescent="0.3">
      <c r="AI652" s="763" t="s">
        <v>1119</v>
      </c>
      <c r="AJ652" s="764">
        <v>6630</v>
      </c>
      <c r="AK652" s="765">
        <v>450</v>
      </c>
      <c r="AL652" s="765">
        <v>7.6</v>
      </c>
      <c r="AM652" s="765">
        <v>152</v>
      </c>
      <c r="AN652" s="765">
        <v>10.8</v>
      </c>
      <c r="AO652" s="767" t="s">
        <v>1120</v>
      </c>
      <c r="AP652" s="767">
        <v>28</v>
      </c>
      <c r="AQ652" s="769">
        <v>19</v>
      </c>
      <c r="AR652" s="770">
        <v>18</v>
      </c>
      <c r="AS652" s="766">
        <v>40</v>
      </c>
      <c r="AT652" s="768">
        <v>60</v>
      </c>
      <c r="AU652" s="767">
        <v>5.75</v>
      </c>
      <c r="AV652" s="768">
        <v>53.6</v>
      </c>
      <c r="AW652" s="765">
        <v>255</v>
      </c>
      <c r="AX652" s="765">
        <v>1120</v>
      </c>
      <c r="AY652" s="765">
        <v>182</v>
      </c>
      <c r="AZ652" s="765">
        <v>1290</v>
      </c>
      <c r="BA652" s="765">
        <v>12.2</v>
      </c>
      <c r="BB652" s="765">
        <v>129</v>
      </c>
      <c r="BC652" s="765">
        <v>39.9</v>
      </c>
      <c r="BD652" s="765">
        <v>200</v>
      </c>
      <c r="BE652" s="767">
        <v>0.27365933119468899</v>
      </c>
      <c r="BF652" s="768">
        <v>439.2</v>
      </c>
      <c r="BG652" s="765">
        <v>256</v>
      </c>
      <c r="BH652" s="765">
        <v>587</v>
      </c>
      <c r="BI652" s="765">
        <v>20800</v>
      </c>
      <c r="BJ652" s="765">
        <v>10.6</v>
      </c>
      <c r="BK652" s="765">
        <v>215</v>
      </c>
      <c r="BL652" s="771">
        <v>634</v>
      </c>
    </row>
    <row r="653" spans="35:64" x14ac:dyDescent="0.3">
      <c r="AI653" s="763" t="s">
        <v>1121</v>
      </c>
      <c r="AJ653" s="764">
        <v>19200</v>
      </c>
      <c r="AK653" s="765">
        <v>431</v>
      </c>
      <c r="AL653" s="765">
        <v>14.9</v>
      </c>
      <c r="AM653" s="765">
        <v>265</v>
      </c>
      <c r="AN653" s="765">
        <v>25</v>
      </c>
      <c r="AO653" s="767" t="s">
        <v>1122</v>
      </c>
      <c r="AP653" s="767">
        <v>32</v>
      </c>
      <c r="AQ653" s="769">
        <v>20</v>
      </c>
      <c r="AR653" s="770">
        <v>18</v>
      </c>
      <c r="AS653" s="766">
        <v>35</v>
      </c>
      <c r="AT653" s="768">
        <v>52</v>
      </c>
      <c r="AU653" s="767">
        <v>7.04</v>
      </c>
      <c r="AV653" s="768">
        <v>56.4</v>
      </c>
      <c r="AW653" s="765">
        <v>212</v>
      </c>
      <c r="AX653" s="765">
        <v>943</v>
      </c>
      <c r="AY653" s="765">
        <v>184</v>
      </c>
      <c r="AZ653" s="765">
        <v>1490</v>
      </c>
      <c r="BA653" s="765">
        <v>9.41</v>
      </c>
      <c r="BB653" s="765">
        <v>122</v>
      </c>
      <c r="BC653" s="765">
        <v>32.799999999999997</v>
      </c>
      <c r="BD653" s="765">
        <v>192</v>
      </c>
      <c r="BE653" s="767">
        <v>0.22620270730065919</v>
      </c>
      <c r="BF653" s="768">
        <v>443.6</v>
      </c>
      <c r="BG653" s="765">
        <v>509</v>
      </c>
      <c r="BH653" s="765">
        <v>463</v>
      </c>
      <c r="BI653" s="765">
        <v>17100</v>
      </c>
      <c r="BJ653" s="765">
        <v>10.1</v>
      </c>
      <c r="BK653" s="765">
        <v>247</v>
      </c>
      <c r="BL653" s="771">
        <v>735</v>
      </c>
    </row>
    <row r="654" spans="35:64" x14ac:dyDescent="0.3">
      <c r="AI654" s="763" t="s">
        <v>1123</v>
      </c>
      <c r="AJ654" s="764">
        <v>17000</v>
      </c>
      <c r="AK654" s="765">
        <v>425</v>
      </c>
      <c r="AL654" s="765">
        <v>13.3</v>
      </c>
      <c r="AM654" s="765">
        <v>263</v>
      </c>
      <c r="AN654" s="765">
        <v>22.2</v>
      </c>
      <c r="AO654" s="767" t="s">
        <v>1124</v>
      </c>
      <c r="AP654" s="767">
        <v>30</v>
      </c>
      <c r="AQ654" s="769">
        <v>19</v>
      </c>
      <c r="AR654" s="770">
        <v>18</v>
      </c>
      <c r="AS654" s="766">
        <v>100</v>
      </c>
      <c r="AT654" s="768">
        <v>149</v>
      </c>
      <c r="AU654" s="767">
        <v>5.3</v>
      </c>
      <c r="AV654" s="768">
        <v>25.6</v>
      </c>
      <c r="AW654" s="765">
        <v>625</v>
      </c>
      <c r="AX654" s="765">
        <v>2900</v>
      </c>
      <c r="AY654" s="765">
        <v>183</v>
      </c>
      <c r="AZ654" s="765">
        <v>1280</v>
      </c>
      <c r="BA654" s="765">
        <v>7.96</v>
      </c>
      <c r="BB654" s="765">
        <v>104</v>
      </c>
      <c r="BC654" s="765">
        <v>32.4</v>
      </c>
      <c r="BD654" s="765">
        <v>163</v>
      </c>
      <c r="BE654" s="767">
        <v>0.22275485942367401</v>
      </c>
      <c r="BF654" s="768">
        <v>441.7</v>
      </c>
      <c r="BG654" s="765">
        <v>335</v>
      </c>
      <c r="BH654" s="765">
        <v>388</v>
      </c>
      <c r="BI654" s="765">
        <v>16900</v>
      </c>
      <c r="BJ654" s="765">
        <v>8.59</v>
      </c>
      <c r="BK654" s="765">
        <v>213</v>
      </c>
      <c r="BL654" s="771">
        <v>633</v>
      </c>
    </row>
    <row r="655" spans="35:64" x14ac:dyDescent="0.3">
      <c r="AI655" s="763" t="s">
        <v>1125</v>
      </c>
      <c r="AJ655" s="764">
        <v>14800</v>
      </c>
      <c r="AK655" s="765">
        <v>420</v>
      </c>
      <c r="AL655" s="765">
        <v>11.6</v>
      </c>
      <c r="AM655" s="765">
        <v>261</v>
      </c>
      <c r="AN655" s="765">
        <v>19.3</v>
      </c>
      <c r="AO655" s="767" t="s">
        <v>1126</v>
      </c>
      <c r="AP655" s="767">
        <v>28</v>
      </c>
      <c r="AQ655" s="769">
        <v>19</v>
      </c>
      <c r="AR655" s="770">
        <v>18</v>
      </c>
      <c r="AS655" s="766">
        <v>89</v>
      </c>
      <c r="AT655" s="768">
        <v>132</v>
      </c>
      <c r="AU655" s="767">
        <v>5.92</v>
      </c>
      <c r="AV655" s="768">
        <v>28.6</v>
      </c>
      <c r="AW655" s="765">
        <v>545</v>
      </c>
      <c r="AX655" s="765">
        <v>2560</v>
      </c>
      <c r="AY655" s="765">
        <v>179</v>
      </c>
      <c r="AZ655" s="765">
        <v>1090</v>
      </c>
      <c r="BA655" s="765">
        <v>6.34</v>
      </c>
      <c r="BB655" s="765">
        <v>83.4</v>
      </c>
      <c r="BC655" s="765">
        <v>30.9</v>
      </c>
      <c r="BD655" s="765">
        <v>131</v>
      </c>
      <c r="BE655" s="767">
        <v>0.21612092851617251</v>
      </c>
      <c r="BF655" s="768">
        <v>439.2</v>
      </c>
      <c r="BG655" s="765">
        <v>210</v>
      </c>
      <c r="BH655" s="765">
        <v>306</v>
      </c>
      <c r="BI655" s="765">
        <v>16700</v>
      </c>
      <c r="BJ655" s="765">
        <v>6.85</v>
      </c>
      <c r="BK655" s="765">
        <v>171</v>
      </c>
      <c r="BL655" s="771">
        <v>535</v>
      </c>
    </row>
    <row r="656" spans="35:64" x14ac:dyDescent="0.3">
      <c r="AI656" s="763" t="s">
        <v>1127</v>
      </c>
      <c r="AJ656" s="764">
        <v>12900</v>
      </c>
      <c r="AK656" s="765">
        <v>415</v>
      </c>
      <c r="AL656" s="765">
        <v>10</v>
      </c>
      <c r="AM656" s="765">
        <v>260</v>
      </c>
      <c r="AN656" s="765">
        <v>16.899999999999999</v>
      </c>
      <c r="AO656" s="767" t="s">
        <v>1128</v>
      </c>
      <c r="AP656" s="767">
        <v>47</v>
      </c>
      <c r="AQ656" s="769">
        <v>28</v>
      </c>
      <c r="AR656" s="770">
        <v>16</v>
      </c>
      <c r="AS656" s="766">
        <v>77</v>
      </c>
      <c r="AT656" s="768">
        <v>114</v>
      </c>
      <c r="AU656" s="767">
        <v>6.76</v>
      </c>
      <c r="AV656" s="768">
        <v>32.9</v>
      </c>
      <c r="AW656" s="765">
        <v>468</v>
      </c>
      <c r="AX656" s="765">
        <v>2230</v>
      </c>
      <c r="AY656" s="765">
        <v>180</v>
      </c>
      <c r="AZ656" s="765">
        <v>3280</v>
      </c>
      <c r="BA656" s="765">
        <v>77.7</v>
      </c>
      <c r="BB656" s="765">
        <v>586</v>
      </c>
      <c r="BC656" s="765">
        <v>63.6</v>
      </c>
      <c r="BD656" s="765">
        <v>902</v>
      </c>
      <c r="BE656" s="767">
        <v>0.41466153432936759</v>
      </c>
      <c r="BF656" s="768">
        <v>406</v>
      </c>
      <c r="BG656" s="765">
        <v>3420</v>
      </c>
      <c r="BH656" s="765">
        <v>3200</v>
      </c>
      <c r="BI656" s="765">
        <v>26900</v>
      </c>
      <c r="BJ656" s="765">
        <v>44.5</v>
      </c>
      <c r="BK656" s="765">
        <v>635</v>
      </c>
      <c r="BL656" s="771">
        <v>1620</v>
      </c>
    </row>
    <row r="657" spans="35:64" x14ac:dyDescent="0.3">
      <c r="AI657" s="763" t="s">
        <v>1129</v>
      </c>
      <c r="AJ657" s="764">
        <v>10800</v>
      </c>
      <c r="AK657" s="765">
        <v>417</v>
      </c>
      <c r="AL657" s="765">
        <v>10.9</v>
      </c>
      <c r="AM657" s="765">
        <v>181</v>
      </c>
      <c r="AN657" s="765">
        <v>18.2</v>
      </c>
      <c r="AO657" s="767" t="s">
        <v>1130</v>
      </c>
      <c r="AP657" s="767">
        <v>44</v>
      </c>
      <c r="AQ657" s="769">
        <v>27</v>
      </c>
      <c r="AR657" s="770">
        <v>16</v>
      </c>
      <c r="AS657" s="766">
        <v>67</v>
      </c>
      <c r="AT657" s="768">
        <v>100</v>
      </c>
      <c r="AU657" s="767">
        <v>7.69</v>
      </c>
      <c r="AV657" s="768">
        <v>38.1</v>
      </c>
      <c r="AW657" s="765">
        <v>404</v>
      </c>
      <c r="AX657" s="765">
        <v>1950</v>
      </c>
      <c r="AY657" s="765">
        <v>179</v>
      </c>
      <c r="AZ657" s="765">
        <v>2890</v>
      </c>
      <c r="BA657" s="765">
        <v>67.400000000000006</v>
      </c>
      <c r="BB657" s="765">
        <v>513</v>
      </c>
      <c r="BC657" s="765">
        <v>62.9</v>
      </c>
      <c r="BD657" s="765">
        <v>788</v>
      </c>
      <c r="BE657" s="767">
        <v>0.40934138366091649</v>
      </c>
      <c r="BF657" s="768">
        <v>402.8</v>
      </c>
      <c r="BG657" s="765">
        <v>2410</v>
      </c>
      <c r="BH657" s="765">
        <v>2730</v>
      </c>
      <c r="BI657" s="765">
        <v>26500</v>
      </c>
      <c r="BJ657" s="765">
        <v>38.700000000000003</v>
      </c>
      <c r="BK657" s="765">
        <v>558</v>
      </c>
      <c r="BL657" s="771">
        <v>1420</v>
      </c>
    </row>
    <row r="658" spans="35:64" x14ac:dyDescent="0.3">
      <c r="AI658" s="763" t="s">
        <v>1131</v>
      </c>
      <c r="AJ658" s="764">
        <v>9550</v>
      </c>
      <c r="AK658" s="765">
        <v>413</v>
      </c>
      <c r="AL658" s="765">
        <v>9.6999999999999993</v>
      </c>
      <c r="AM658" s="765">
        <v>180</v>
      </c>
      <c r="AN658" s="765">
        <v>16</v>
      </c>
      <c r="AO658" s="773" t="s">
        <v>1132</v>
      </c>
      <c r="AP658" s="773">
        <v>41</v>
      </c>
      <c r="AQ658" s="769">
        <v>26</v>
      </c>
      <c r="AR658" s="770">
        <v>16</v>
      </c>
      <c r="AS658" s="766">
        <v>57</v>
      </c>
      <c r="AT658" s="768">
        <v>85</v>
      </c>
      <c r="AU658" s="767">
        <v>4.97</v>
      </c>
      <c r="AV658" s="768">
        <v>34.9</v>
      </c>
      <c r="AW658" s="765">
        <v>315</v>
      </c>
      <c r="AX658" s="765">
        <v>1510</v>
      </c>
      <c r="AY658" s="765">
        <v>178</v>
      </c>
      <c r="AZ658" s="765">
        <v>2490</v>
      </c>
      <c r="BA658" s="765">
        <v>57.3</v>
      </c>
      <c r="BB658" s="765">
        <v>439</v>
      </c>
      <c r="BC658" s="765">
        <v>62.3</v>
      </c>
      <c r="BD658" s="765">
        <v>673</v>
      </c>
      <c r="BE658" s="767">
        <v>0.40347644252360793</v>
      </c>
      <c r="BF658" s="768">
        <v>400.7</v>
      </c>
      <c r="BG658" s="765">
        <v>1610</v>
      </c>
      <c r="BH658" s="765">
        <v>2300</v>
      </c>
      <c r="BI658" s="765">
        <v>26100</v>
      </c>
      <c r="BJ658" s="765">
        <v>32.9</v>
      </c>
      <c r="BK658" s="765">
        <v>482</v>
      </c>
      <c r="BL658" s="771">
        <v>1220</v>
      </c>
    </row>
    <row r="659" spans="35:64" x14ac:dyDescent="0.3">
      <c r="AI659" s="763" t="s">
        <v>1133</v>
      </c>
      <c r="AJ659" s="764">
        <v>8600</v>
      </c>
      <c r="AK659" s="765">
        <v>410</v>
      </c>
      <c r="AL659" s="765">
        <v>8.8000000000000007</v>
      </c>
      <c r="AM659" s="765">
        <v>179</v>
      </c>
      <c r="AN659" s="765">
        <v>14.4</v>
      </c>
      <c r="AO659" s="773" t="s">
        <v>1134</v>
      </c>
      <c r="AP659" s="773">
        <v>39</v>
      </c>
      <c r="AQ659" s="769">
        <v>25</v>
      </c>
      <c r="AR659" s="770">
        <v>16</v>
      </c>
      <c r="AS659" s="766">
        <v>50</v>
      </c>
      <c r="AT659" s="768">
        <v>74</v>
      </c>
      <c r="AU659" s="767">
        <v>5.63</v>
      </c>
      <c r="AV659" s="768">
        <v>39.299999999999997</v>
      </c>
      <c r="AW659" s="765">
        <v>275</v>
      </c>
      <c r="AX659" s="765">
        <v>1330</v>
      </c>
      <c r="AY659" s="765">
        <v>177</v>
      </c>
      <c r="AZ659" s="765">
        <v>2160</v>
      </c>
      <c r="BA659" s="765">
        <v>49.6</v>
      </c>
      <c r="BB659" s="765">
        <v>381</v>
      </c>
      <c r="BC659" s="765">
        <v>62</v>
      </c>
      <c r="BD659" s="765">
        <v>583</v>
      </c>
      <c r="BE659" s="767">
        <v>0.39986844267255572</v>
      </c>
      <c r="BF659" s="768">
        <v>398.1</v>
      </c>
      <c r="BG659" s="765">
        <v>1090</v>
      </c>
      <c r="BH659" s="765">
        <v>1960</v>
      </c>
      <c r="BI659" s="765">
        <v>25900</v>
      </c>
      <c r="BJ659" s="765">
        <v>28.4</v>
      </c>
      <c r="BK659" s="765">
        <v>420</v>
      </c>
      <c r="BL659" s="771">
        <v>1060</v>
      </c>
    </row>
    <row r="660" spans="35:64" x14ac:dyDescent="0.3">
      <c r="AI660" s="763" t="s">
        <v>1135</v>
      </c>
      <c r="AJ660" s="764">
        <v>7580</v>
      </c>
      <c r="AK660" s="765">
        <v>407</v>
      </c>
      <c r="AL660" s="765">
        <v>7.7</v>
      </c>
      <c r="AM660" s="765">
        <v>178</v>
      </c>
      <c r="AN660" s="765">
        <v>12.8</v>
      </c>
      <c r="AO660" s="773" t="s">
        <v>1136</v>
      </c>
      <c r="AP660" s="773">
        <v>35</v>
      </c>
      <c r="AQ660" s="769">
        <v>21</v>
      </c>
      <c r="AR660" s="770">
        <v>16</v>
      </c>
      <c r="AS660" s="766">
        <v>45</v>
      </c>
      <c r="AT660" s="768">
        <v>67</v>
      </c>
      <c r="AU660" s="767">
        <v>6.22</v>
      </c>
      <c r="AV660" s="768">
        <v>43.3</v>
      </c>
      <c r="AW660" s="765">
        <v>246</v>
      </c>
      <c r="AX660" s="765">
        <v>1200</v>
      </c>
      <c r="AY660" s="765">
        <v>171</v>
      </c>
      <c r="AZ660" s="765">
        <v>1730</v>
      </c>
      <c r="BA660" s="765">
        <v>18</v>
      </c>
      <c r="BB660" s="765">
        <v>199</v>
      </c>
      <c r="BC660" s="765">
        <v>40.799999999999997</v>
      </c>
      <c r="BD660" s="765">
        <v>310</v>
      </c>
      <c r="BE660" s="767">
        <v>0.27428966340719507</v>
      </c>
      <c r="BF660" s="768">
        <v>398.8</v>
      </c>
      <c r="BG660" s="765">
        <v>926</v>
      </c>
      <c r="BH660" s="765">
        <v>717</v>
      </c>
      <c r="BI660" s="765">
        <v>18000</v>
      </c>
      <c r="BJ660" s="765">
        <v>14.9</v>
      </c>
      <c r="BK660" s="765">
        <v>309</v>
      </c>
      <c r="BL660" s="771">
        <v>854</v>
      </c>
    </row>
    <row r="661" spans="35:64" x14ac:dyDescent="0.3">
      <c r="AI661" s="763" t="s">
        <v>1137</v>
      </c>
      <c r="AJ661" s="764">
        <v>6810</v>
      </c>
      <c r="AK661" s="765">
        <v>403</v>
      </c>
      <c r="AL661" s="765">
        <v>7.5</v>
      </c>
      <c r="AM661" s="765">
        <v>177</v>
      </c>
      <c r="AN661" s="765">
        <v>10.9</v>
      </c>
      <c r="AO661" s="773" t="s">
        <v>1138</v>
      </c>
      <c r="AP661" s="773">
        <v>33</v>
      </c>
      <c r="AQ661" s="769">
        <v>20</v>
      </c>
      <c r="AR661" s="770">
        <v>16</v>
      </c>
      <c r="AS661" s="766">
        <v>40</v>
      </c>
      <c r="AT661" s="765">
        <v>60</v>
      </c>
      <c r="AU661" s="767">
        <v>6.95</v>
      </c>
      <c r="AV661" s="767">
        <v>49.5</v>
      </c>
      <c r="AW661" s="765">
        <v>216</v>
      </c>
      <c r="AX661" s="765">
        <v>1060</v>
      </c>
      <c r="AY661" s="765">
        <v>170</v>
      </c>
      <c r="AZ661" s="765">
        <v>1510</v>
      </c>
      <c r="BA661" s="765">
        <v>15.6</v>
      </c>
      <c r="BB661" s="765">
        <v>173</v>
      </c>
      <c r="BC661" s="765">
        <v>40.4</v>
      </c>
      <c r="BD661" s="765">
        <v>269</v>
      </c>
      <c r="BE661" s="767">
        <v>0.27126728571836423</v>
      </c>
      <c r="BF661" s="768">
        <v>397</v>
      </c>
      <c r="BG661" s="765">
        <v>637</v>
      </c>
      <c r="BH661" s="765">
        <v>614</v>
      </c>
      <c r="BI661" s="765">
        <v>17900</v>
      </c>
      <c r="BJ661" s="765">
        <v>12.9</v>
      </c>
      <c r="BK661" s="765">
        <v>270</v>
      </c>
      <c r="BL661" s="771">
        <v>748</v>
      </c>
    </row>
    <row r="662" spans="35:64" x14ac:dyDescent="0.3">
      <c r="AI662" s="763" t="s">
        <v>1139</v>
      </c>
      <c r="AJ662" s="764">
        <v>5890</v>
      </c>
      <c r="AK662" s="765">
        <v>403</v>
      </c>
      <c r="AL662" s="765">
        <v>7</v>
      </c>
      <c r="AM662" s="765">
        <v>140</v>
      </c>
      <c r="AN662" s="765">
        <v>11.2</v>
      </c>
      <c r="AO662" s="773" t="s">
        <v>1140</v>
      </c>
      <c r="AP662" s="773">
        <v>31</v>
      </c>
      <c r="AQ662" s="769">
        <v>20</v>
      </c>
      <c r="AR662" s="770">
        <v>16</v>
      </c>
      <c r="AS662" s="766">
        <v>36</v>
      </c>
      <c r="AT662" s="765">
        <v>54</v>
      </c>
      <c r="AU662" s="767">
        <v>8.1199999999999992</v>
      </c>
      <c r="AV662" s="767">
        <v>50.8</v>
      </c>
      <c r="AW662" s="765">
        <v>186</v>
      </c>
      <c r="AX662" s="765">
        <v>924</v>
      </c>
      <c r="AY662" s="765">
        <v>169</v>
      </c>
      <c r="AZ662" s="765">
        <v>1360</v>
      </c>
      <c r="BA662" s="765">
        <v>13.8</v>
      </c>
      <c r="BB662" s="765">
        <v>154</v>
      </c>
      <c r="BC662" s="765">
        <v>40</v>
      </c>
      <c r="BD662" s="765">
        <v>239</v>
      </c>
      <c r="BE662" s="767">
        <v>0.26821161952773559</v>
      </c>
      <c r="BF662" s="768">
        <v>395.6</v>
      </c>
      <c r="BG662" s="765">
        <v>469</v>
      </c>
      <c r="BH662" s="765">
        <v>540</v>
      </c>
      <c r="BI662" s="765">
        <v>17700</v>
      </c>
      <c r="BJ662" s="765">
        <v>11.4</v>
      </c>
      <c r="BK662" s="765">
        <v>242</v>
      </c>
      <c r="BL662" s="771">
        <v>670</v>
      </c>
    </row>
    <row r="663" spans="35:64" x14ac:dyDescent="0.3">
      <c r="AI663" s="763" t="s">
        <v>1141</v>
      </c>
      <c r="AJ663" s="764">
        <v>4990</v>
      </c>
      <c r="AK663" s="765">
        <v>399</v>
      </c>
      <c r="AL663" s="765">
        <v>6.4</v>
      </c>
      <c r="AM663" s="765">
        <v>140</v>
      </c>
      <c r="AN663" s="765">
        <v>8.8000000000000007</v>
      </c>
      <c r="AO663" s="767" t="s">
        <v>1142</v>
      </c>
      <c r="AP663" s="767">
        <v>30</v>
      </c>
      <c r="AQ663" s="769">
        <v>19</v>
      </c>
      <c r="AR663" s="769">
        <v>16</v>
      </c>
      <c r="AS663" s="766">
        <v>31</v>
      </c>
      <c r="AT663" s="765">
        <v>46</v>
      </c>
      <c r="AU663" s="767">
        <v>6.25</v>
      </c>
      <c r="AV663" s="767">
        <v>54.4</v>
      </c>
      <c r="AW663" s="765">
        <v>156</v>
      </c>
      <c r="AX663" s="765">
        <v>773</v>
      </c>
      <c r="AY663" s="765">
        <v>169</v>
      </c>
      <c r="AZ663" s="765">
        <v>1190</v>
      </c>
      <c r="BA663" s="765">
        <v>12</v>
      </c>
      <c r="BB663" s="765">
        <v>135</v>
      </c>
      <c r="BC663" s="765">
        <v>39.9</v>
      </c>
      <c r="BD663" s="765">
        <v>209</v>
      </c>
      <c r="BE663" s="767">
        <v>0.2658911253650757</v>
      </c>
      <c r="BF663" s="768">
        <v>394.2</v>
      </c>
      <c r="BG663" s="765">
        <v>328</v>
      </c>
      <c r="BH663" s="765">
        <v>468</v>
      </c>
      <c r="BI663" s="765">
        <v>17500</v>
      </c>
      <c r="BJ663" s="765">
        <v>9.99</v>
      </c>
      <c r="BK663" s="765">
        <v>215</v>
      </c>
      <c r="BL663" s="771">
        <v>589</v>
      </c>
    </row>
    <row r="664" spans="35:64" x14ac:dyDescent="0.3">
      <c r="AI664" s="763" t="s">
        <v>1143</v>
      </c>
      <c r="AJ664" s="764">
        <v>139000</v>
      </c>
      <c r="AK664" s="765">
        <v>569</v>
      </c>
      <c r="AL664" s="765">
        <v>78</v>
      </c>
      <c r="AM664" s="765">
        <v>454</v>
      </c>
      <c r="AN664" s="765">
        <v>125</v>
      </c>
      <c r="AO664" s="767" t="s">
        <v>1144</v>
      </c>
      <c r="AP664" s="767">
        <v>28</v>
      </c>
      <c r="AQ664" s="774">
        <v>19</v>
      </c>
      <c r="AR664" s="769">
        <v>16</v>
      </c>
      <c r="AS664" s="766">
        <v>26</v>
      </c>
      <c r="AT664" s="765">
        <v>39</v>
      </c>
      <c r="AU664" s="767">
        <v>7.95</v>
      </c>
      <c r="AV664" s="767">
        <v>59.6</v>
      </c>
      <c r="AW664" s="765">
        <v>127</v>
      </c>
      <c r="AX664" s="765">
        <v>634</v>
      </c>
      <c r="AY664" s="765">
        <v>165</v>
      </c>
      <c r="AZ664" s="765">
        <v>1050</v>
      </c>
      <c r="BA664" s="765">
        <v>10.1</v>
      </c>
      <c r="BB664" s="765">
        <v>114</v>
      </c>
      <c r="BC664" s="765">
        <v>38.5</v>
      </c>
      <c r="BD664" s="765">
        <v>177</v>
      </c>
      <c r="BE664" s="767">
        <v>0.26028688694429908</v>
      </c>
      <c r="BF664" s="768">
        <v>392.1</v>
      </c>
      <c r="BG664" s="765">
        <v>226</v>
      </c>
      <c r="BH664" s="765">
        <v>388</v>
      </c>
      <c r="BI664" s="765">
        <v>17400</v>
      </c>
      <c r="BJ664" s="765">
        <v>8.3699999999999992</v>
      </c>
      <c r="BK664" s="765">
        <v>181</v>
      </c>
      <c r="BL664" s="771">
        <v>514</v>
      </c>
    </row>
    <row r="665" spans="35:64" x14ac:dyDescent="0.3">
      <c r="AI665" s="763" t="s">
        <v>1145</v>
      </c>
      <c r="AJ665" s="764">
        <v>126000</v>
      </c>
      <c r="AK665" s="765">
        <v>550</v>
      </c>
      <c r="AL665" s="765">
        <v>71.900000000000006</v>
      </c>
      <c r="AM665" s="765">
        <v>448</v>
      </c>
      <c r="AN665" s="765">
        <v>115</v>
      </c>
      <c r="AO665" s="767" t="s">
        <v>1146</v>
      </c>
      <c r="AP665" s="767">
        <v>28</v>
      </c>
      <c r="AQ665" s="769">
        <v>19</v>
      </c>
      <c r="AR665" s="769">
        <v>16</v>
      </c>
      <c r="AS665" s="766">
        <v>730</v>
      </c>
      <c r="AT665" s="765">
        <v>1086</v>
      </c>
      <c r="AU665" s="767">
        <v>1.82</v>
      </c>
      <c r="AV665" s="767">
        <v>4.09</v>
      </c>
      <c r="AW665" s="765">
        <v>5960</v>
      </c>
      <c r="AX665" s="765">
        <v>20900</v>
      </c>
      <c r="AY665" s="765">
        <v>163</v>
      </c>
      <c r="AZ665" s="765">
        <v>885</v>
      </c>
      <c r="BA665" s="765">
        <v>5.14</v>
      </c>
      <c r="BB665" s="765">
        <v>73.400000000000006</v>
      </c>
      <c r="BC665" s="765">
        <v>29.5</v>
      </c>
      <c r="BD665" s="765">
        <v>115</v>
      </c>
      <c r="BE665" s="767">
        <v>0.20289324555274621</v>
      </c>
      <c r="BF665" s="768">
        <v>391.8</v>
      </c>
      <c r="BG665" s="765">
        <v>192</v>
      </c>
      <c r="BH665" s="765">
        <v>197</v>
      </c>
      <c r="BI665" s="765">
        <v>13700</v>
      </c>
      <c r="BJ665" s="765">
        <v>5.38</v>
      </c>
      <c r="BK665" s="765">
        <v>146</v>
      </c>
      <c r="BL665" s="771">
        <v>434</v>
      </c>
    </row>
    <row r="666" spans="35:64" x14ac:dyDescent="0.3">
      <c r="AI666" s="763" t="s">
        <v>1147</v>
      </c>
      <c r="AJ666" s="764">
        <v>115000</v>
      </c>
      <c r="AK666" s="765">
        <v>531</v>
      </c>
      <c r="AL666" s="765">
        <v>65.900000000000006</v>
      </c>
      <c r="AM666" s="765">
        <v>442</v>
      </c>
      <c r="AN666" s="765">
        <v>106</v>
      </c>
      <c r="AO666" s="767" t="s">
        <v>1148</v>
      </c>
      <c r="AP666" s="767">
        <v>26</v>
      </c>
      <c r="AQ666" s="765">
        <v>18</v>
      </c>
      <c r="AR666" s="769">
        <v>16</v>
      </c>
      <c r="AS666" s="766">
        <v>665</v>
      </c>
      <c r="AT666" s="765">
        <v>990</v>
      </c>
      <c r="AU666" s="767">
        <v>1.95</v>
      </c>
      <c r="AV666" s="767">
        <v>4.45</v>
      </c>
      <c r="AW666" s="765">
        <v>5190</v>
      </c>
      <c r="AX666" s="765">
        <v>18900</v>
      </c>
      <c r="AY666" s="765">
        <v>159</v>
      </c>
      <c r="AZ666" s="765">
        <v>730</v>
      </c>
      <c r="BA666" s="765">
        <v>4.04</v>
      </c>
      <c r="BB666" s="765">
        <v>57.7</v>
      </c>
      <c r="BC666" s="765">
        <v>28.4</v>
      </c>
      <c r="BD666" s="765">
        <v>90.6</v>
      </c>
      <c r="BE666" s="767">
        <v>0.1983494006665171</v>
      </c>
      <c r="BF666" s="768">
        <v>390.2</v>
      </c>
      <c r="BG666" s="765">
        <v>111</v>
      </c>
      <c r="BH666" s="765">
        <v>154</v>
      </c>
      <c r="BI666" s="765">
        <v>13700</v>
      </c>
      <c r="BJ666" s="765">
        <v>4.21</v>
      </c>
      <c r="BK666" s="765">
        <v>115</v>
      </c>
      <c r="BL666" s="771">
        <v>357</v>
      </c>
    </row>
    <row r="667" spans="35:64" x14ac:dyDescent="0.3">
      <c r="AI667" s="763" t="s">
        <v>1149</v>
      </c>
      <c r="AJ667" s="764">
        <v>104000</v>
      </c>
      <c r="AK667" s="765">
        <v>514</v>
      </c>
      <c r="AL667" s="765">
        <v>60.5</v>
      </c>
      <c r="AM667" s="765">
        <v>437</v>
      </c>
      <c r="AN667" s="765">
        <v>97</v>
      </c>
      <c r="AO667" s="767" t="s">
        <v>1150</v>
      </c>
      <c r="AP667" s="767">
        <v>157</v>
      </c>
      <c r="AQ667" s="769">
        <v>69</v>
      </c>
      <c r="AR667" s="769">
        <v>14</v>
      </c>
      <c r="AS667" s="766">
        <v>605</v>
      </c>
      <c r="AT667" s="765">
        <v>900</v>
      </c>
      <c r="AU667" s="767">
        <v>2.08</v>
      </c>
      <c r="AV667" s="767">
        <v>4.84</v>
      </c>
      <c r="AW667" s="765">
        <v>4500</v>
      </c>
      <c r="AX667" s="765">
        <v>17000</v>
      </c>
      <c r="AY667" s="765">
        <v>207</v>
      </c>
      <c r="AZ667" s="765">
        <v>27200</v>
      </c>
      <c r="BA667" s="765">
        <v>1960</v>
      </c>
      <c r="BB667" s="765">
        <v>8650</v>
      </c>
      <c r="BC667" s="765">
        <v>119</v>
      </c>
      <c r="BD667" s="765">
        <v>13400</v>
      </c>
      <c r="BE667" s="767">
        <v>0.81161019414189006</v>
      </c>
      <c r="BF667" s="768">
        <v>444</v>
      </c>
      <c r="BG667" s="765">
        <v>605000</v>
      </c>
      <c r="BH667" s="765">
        <v>96700</v>
      </c>
      <c r="BI667" s="765">
        <v>50400</v>
      </c>
      <c r="BJ667" s="765">
        <v>715</v>
      </c>
      <c r="BK667" s="765">
        <v>5220</v>
      </c>
      <c r="BL667" s="771">
        <v>13600</v>
      </c>
    </row>
    <row r="668" spans="35:64" x14ac:dyDescent="0.3">
      <c r="AI668" s="763" t="s">
        <v>1151</v>
      </c>
      <c r="AJ668" s="764">
        <v>94800</v>
      </c>
      <c r="AK668" s="765">
        <v>498</v>
      </c>
      <c r="AL668" s="765">
        <v>55.6</v>
      </c>
      <c r="AM668" s="765">
        <v>432</v>
      </c>
      <c r="AN668" s="765">
        <v>88.9</v>
      </c>
      <c r="AO668" s="767" t="s">
        <v>1152</v>
      </c>
      <c r="AP668" s="767">
        <v>147</v>
      </c>
      <c r="AQ668" s="765">
        <v>66</v>
      </c>
      <c r="AR668" s="769">
        <v>14</v>
      </c>
      <c r="AS668" s="766">
        <v>550</v>
      </c>
      <c r="AT668" s="765">
        <v>818</v>
      </c>
      <c r="AU668" s="767">
        <v>2.25</v>
      </c>
      <c r="AV668" s="767">
        <v>5.29</v>
      </c>
      <c r="AW668" s="765">
        <v>3920</v>
      </c>
      <c r="AX668" s="765">
        <v>15300</v>
      </c>
      <c r="AY668" s="765">
        <v>203</v>
      </c>
      <c r="AZ668" s="765">
        <v>24300</v>
      </c>
      <c r="BA668" s="765">
        <v>1730</v>
      </c>
      <c r="BB668" s="765">
        <v>7740</v>
      </c>
      <c r="BC668" s="765">
        <v>117</v>
      </c>
      <c r="BD668" s="765">
        <v>12000</v>
      </c>
      <c r="BE668" s="767">
        <v>0.7938420261099689</v>
      </c>
      <c r="BF668" s="768">
        <v>435</v>
      </c>
      <c r="BG668" s="765">
        <v>469000</v>
      </c>
      <c r="BH668" s="765">
        <v>82000</v>
      </c>
      <c r="BI668" s="765">
        <v>48700</v>
      </c>
      <c r="BJ668" s="765">
        <v>628</v>
      </c>
      <c r="BK668" s="765">
        <v>4700</v>
      </c>
      <c r="BL668" s="771">
        <v>12100</v>
      </c>
    </row>
    <row r="669" spans="35:64" x14ac:dyDescent="0.3">
      <c r="AI669" s="763" t="s">
        <v>1153</v>
      </c>
      <c r="AJ669" s="764">
        <v>86300</v>
      </c>
      <c r="AK669" s="765">
        <v>483</v>
      </c>
      <c r="AL669" s="765">
        <v>51.2</v>
      </c>
      <c r="AM669" s="765">
        <v>428</v>
      </c>
      <c r="AN669" s="765">
        <v>81.5</v>
      </c>
      <c r="AO669" s="767" t="s">
        <v>1154</v>
      </c>
      <c r="AP669" s="767">
        <v>138</v>
      </c>
      <c r="AQ669" s="769">
        <v>63</v>
      </c>
      <c r="AR669" s="769">
        <v>14</v>
      </c>
      <c r="AS669" s="766">
        <v>500</v>
      </c>
      <c r="AT669" s="765">
        <v>744</v>
      </c>
      <c r="AU669" s="767">
        <v>2.4300000000000002</v>
      </c>
      <c r="AV669" s="767">
        <v>5.76</v>
      </c>
      <c r="AW669" s="765">
        <v>3420</v>
      </c>
      <c r="AX669" s="765">
        <v>13700</v>
      </c>
      <c r="AY669" s="765">
        <v>198</v>
      </c>
      <c r="AZ669" s="765">
        <v>21600</v>
      </c>
      <c r="BA669" s="765">
        <v>1530</v>
      </c>
      <c r="BB669" s="765">
        <v>6940</v>
      </c>
      <c r="BC669" s="765">
        <v>116</v>
      </c>
      <c r="BD669" s="765">
        <v>10700</v>
      </c>
      <c r="BE669" s="767">
        <v>0.77799162276098766</v>
      </c>
      <c r="BF669" s="768">
        <v>425</v>
      </c>
      <c r="BG669" s="765">
        <v>364000</v>
      </c>
      <c r="BH669" s="765">
        <v>69200</v>
      </c>
      <c r="BI669" s="765">
        <v>47000</v>
      </c>
      <c r="BJ669" s="765">
        <v>550</v>
      </c>
      <c r="BK669" s="765">
        <v>4240</v>
      </c>
      <c r="BL669" s="771">
        <v>10800</v>
      </c>
    </row>
    <row r="670" spans="35:64" x14ac:dyDescent="0.3">
      <c r="AI670" s="763" t="s">
        <v>1155</v>
      </c>
      <c r="AJ670" s="764">
        <v>80800</v>
      </c>
      <c r="AK670" s="765">
        <v>474</v>
      </c>
      <c r="AL670" s="765">
        <v>47.6</v>
      </c>
      <c r="AM670" s="765">
        <v>424</v>
      </c>
      <c r="AN670" s="765">
        <v>77.099999999999994</v>
      </c>
      <c r="AO670" s="767" t="s">
        <v>1156</v>
      </c>
      <c r="AP670" s="767">
        <v>129</v>
      </c>
      <c r="AQ670" s="765">
        <v>60</v>
      </c>
      <c r="AR670" s="769">
        <v>14</v>
      </c>
      <c r="AS670" s="766">
        <v>455</v>
      </c>
      <c r="AT670" s="765">
        <v>677</v>
      </c>
      <c r="AU670" s="767">
        <v>2.63</v>
      </c>
      <c r="AV670" s="767">
        <v>6.25</v>
      </c>
      <c r="AW670" s="765">
        <v>2990</v>
      </c>
      <c r="AX670" s="765">
        <v>12400</v>
      </c>
      <c r="AY670" s="765">
        <v>194</v>
      </c>
      <c r="AZ670" s="765">
        <v>19300</v>
      </c>
      <c r="BA670" s="765">
        <v>1360</v>
      </c>
      <c r="BB670" s="765">
        <v>6200</v>
      </c>
      <c r="BC670" s="765">
        <v>114</v>
      </c>
      <c r="BD670" s="765">
        <v>9560</v>
      </c>
      <c r="BE670" s="767">
        <v>0.76483514386235751</v>
      </c>
      <c r="BF670" s="768">
        <v>417</v>
      </c>
      <c r="BG670" s="765">
        <v>279000</v>
      </c>
      <c r="BH670" s="765">
        <v>58900</v>
      </c>
      <c r="BI670" s="765">
        <v>45600</v>
      </c>
      <c r="BJ670" s="765">
        <v>483</v>
      </c>
      <c r="BK670" s="765">
        <v>3810</v>
      </c>
      <c r="BL670" s="771">
        <v>9610</v>
      </c>
    </row>
    <row r="671" spans="35:64" x14ac:dyDescent="0.3">
      <c r="AI671" s="763" t="s">
        <v>1157</v>
      </c>
      <c r="AJ671" s="764">
        <v>75500</v>
      </c>
      <c r="AK671" s="765">
        <v>465</v>
      </c>
      <c r="AL671" s="765">
        <v>45</v>
      </c>
      <c r="AM671" s="765">
        <v>421</v>
      </c>
      <c r="AN671" s="765">
        <v>72.3</v>
      </c>
      <c r="AO671" s="767" t="s">
        <v>1158</v>
      </c>
      <c r="AP671" s="767">
        <v>120</v>
      </c>
      <c r="AQ671" s="765">
        <v>58</v>
      </c>
      <c r="AR671" s="769">
        <v>14</v>
      </c>
      <c r="AS671" s="766">
        <v>426</v>
      </c>
      <c r="AT671" s="765">
        <v>634</v>
      </c>
      <c r="AU671" s="767">
        <v>2.75</v>
      </c>
      <c r="AV671" s="767">
        <v>6.72</v>
      </c>
      <c r="AW671" s="765">
        <v>2740</v>
      </c>
      <c r="AX671" s="765">
        <v>11600</v>
      </c>
      <c r="AY671" s="765">
        <v>190</v>
      </c>
      <c r="AZ671" s="765">
        <v>17200</v>
      </c>
      <c r="BA671" s="765">
        <v>1200</v>
      </c>
      <c r="BB671" s="765">
        <v>5550</v>
      </c>
      <c r="BC671" s="765">
        <v>112</v>
      </c>
      <c r="BD671" s="765">
        <v>8550</v>
      </c>
      <c r="BE671" s="767">
        <v>0.75268100690704687</v>
      </c>
      <c r="BF671" s="768">
        <v>409.1</v>
      </c>
      <c r="BG671" s="765">
        <v>214000</v>
      </c>
      <c r="BH671" s="765">
        <v>50200</v>
      </c>
      <c r="BI671" s="765">
        <v>44200</v>
      </c>
      <c r="BJ671" s="765">
        <v>424</v>
      </c>
      <c r="BK671" s="765">
        <v>3420</v>
      </c>
      <c r="BL671" s="771">
        <v>8570</v>
      </c>
    </row>
    <row r="672" spans="35:64" x14ac:dyDescent="0.3">
      <c r="AI672" s="763" t="s">
        <v>1159</v>
      </c>
      <c r="AJ672" s="764">
        <v>70100</v>
      </c>
      <c r="AK672" s="765">
        <v>455</v>
      </c>
      <c r="AL672" s="765">
        <v>42</v>
      </c>
      <c r="AM672" s="765">
        <v>418</v>
      </c>
      <c r="AN672" s="765">
        <v>67.599999999999994</v>
      </c>
      <c r="AO672" s="767" t="s">
        <v>1160</v>
      </c>
      <c r="AP672" s="767">
        <v>113</v>
      </c>
      <c r="AQ672" s="765">
        <v>56</v>
      </c>
      <c r="AR672" s="769">
        <v>14</v>
      </c>
      <c r="AS672" s="766">
        <v>398</v>
      </c>
      <c r="AT672" s="765">
        <v>592</v>
      </c>
      <c r="AU672" s="767">
        <v>2.91</v>
      </c>
      <c r="AV672" s="767">
        <v>7.12</v>
      </c>
      <c r="AW672" s="765">
        <v>2500</v>
      </c>
      <c r="AX672" s="765">
        <v>10800</v>
      </c>
      <c r="AY672" s="765">
        <v>186</v>
      </c>
      <c r="AZ672" s="765">
        <v>15300</v>
      </c>
      <c r="BA672" s="765">
        <v>1070</v>
      </c>
      <c r="BB672" s="765">
        <v>4990</v>
      </c>
      <c r="BC672" s="765">
        <v>111</v>
      </c>
      <c r="BD672" s="765">
        <v>7680</v>
      </c>
      <c r="BE672" s="767">
        <v>0.74003867923781785</v>
      </c>
      <c r="BF672" s="768">
        <v>401.5</v>
      </c>
      <c r="BG672" s="765">
        <v>165000</v>
      </c>
      <c r="BH672" s="765">
        <v>43100</v>
      </c>
      <c r="BI672" s="765">
        <v>43000</v>
      </c>
      <c r="BJ672" s="765">
        <v>375</v>
      </c>
      <c r="BK672" s="765">
        <v>3080</v>
      </c>
      <c r="BL672" s="771">
        <v>7660</v>
      </c>
    </row>
    <row r="673" spans="35:64" x14ac:dyDescent="0.3">
      <c r="AI673" s="763" t="s">
        <v>1161</v>
      </c>
      <c r="AJ673" s="764">
        <v>64900</v>
      </c>
      <c r="AK673" s="765">
        <v>446</v>
      </c>
      <c r="AL673" s="765">
        <v>39.1</v>
      </c>
      <c r="AM673" s="765">
        <v>416</v>
      </c>
      <c r="AN673" s="765">
        <v>62.7</v>
      </c>
      <c r="AO673" s="767" t="s">
        <v>1162</v>
      </c>
      <c r="AP673" s="767">
        <v>109</v>
      </c>
      <c r="AQ673" s="765">
        <v>54</v>
      </c>
      <c r="AR673" s="769">
        <v>14</v>
      </c>
      <c r="AS673" s="766">
        <v>370</v>
      </c>
      <c r="AT673" s="765">
        <v>551</v>
      </c>
      <c r="AU673" s="767">
        <v>3.09</v>
      </c>
      <c r="AV673" s="767">
        <v>7.61</v>
      </c>
      <c r="AW673" s="765">
        <v>2260</v>
      </c>
      <c r="AX673" s="765">
        <v>9940</v>
      </c>
      <c r="AY673" s="765">
        <v>184</v>
      </c>
      <c r="AZ673" s="765">
        <v>14200</v>
      </c>
      <c r="BA673" s="765">
        <v>983</v>
      </c>
      <c r="BB673" s="765">
        <v>4630</v>
      </c>
      <c r="BC673" s="765">
        <v>110</v>
      </c>
      <c r="BD673" s="765">
        <v>7120</v>
      </c>
      <c r="BE673" s="767">
        <v>0.7291839923555804</v>
      </c>
      <c r="BF673" s="768">
        <v>396.9</v>
      </c>
      <c r="BG673" s="765">
        <v>138000</v>
      </c>
      <c r="BH673" s="765">
        <v>38700</v>
      </c>
      <c r="BI673" s="765">
        <v>42100</v>
      </c>
      <c r="BJ673" s="765">
        <v>344</v>
      </c>
      <c r="BK673" s="765">
        <v>2880</v>
      </c>
      <c r="BL673" s="771">
        <v>7100</v>
      </c>
    </row>
    <row r="674" spans="35:64" x14ac:dyDescent="0.3">
      <c r="AI674" s="763" t="s">
        <v>1163</v>
      </c>
      <c r="AJ674" s="764">
        <v>59000</v>
      </c>
      <c r="AK674" s="765">
        <v>435</v>
      </c>
      <c r="AL674" s="765">
        <v>35.799999999999997</v>
      </c>
      <c r="AM674" s="765">
        <v>412</v>
      </c>
      <c r="AN674" s="765">
        <v>57.4</v>
      </c>
      <c r="AO674" s="767" t="s">
        <v>1164</v>
      </c>
      <c r="AP674" s="767">
        <v>104</v>
      </c>
      <c r="AQ674" s="765">
        <v>53</v>
      </c>
      <c r="AR674" s="769">
        <v>14</v>
      </c>
      <c r="AS674" s="766">
        <v>342</v>
      </c>
      <c r="AT674" s="765">
        <v>509</v>
      </c>
      <c r="AU674" s="767">
        <v>3.32</v>
      </c>
      <c r="AV674" s="768">
        <v>8.1999999999999993</v>
      </c>
      <c r="AW674" s="765">
        <v>2050</v>
      </c>
      <c r="AX674" s="765">
        <v>9170</v>
      </c>
      <c r="AY674" s="765">
        <v>182</v>
      </c>
      <c r="AZ674" s="765">
        <v>13100</v>
      </c>
      <c r="BA674" s="765">
        <v>902</v>
      </c>
      <c r="BB674" s="765">
        <v>4280</v>
      </c>
      <c r="BC674" s="765">
        <v>109</v>
      </c>
      <c r="BD674" s="765">
        <v>6570</v>
      </c>
      <c r="BE674" s="767">
        <v>0.72025215709266099</v>
      </c>
      <c r="BF674" s="768">
        <v>392.7</v>
      </c>
      <c r="BG674" s="765">
        <v>114000</v>
      </c>
      <c r="BH674" s="765">
        <v>34800</v>
      </c>
      <c r="BI674" s="765">
        <v>41300</v>
      </c>
      <c r="BJ674" s="765">
        <v>315</v>
      </c>
      <c r="BK674" s="765">
        <v>2670</v>
      </c>
      <c r="BL674" s="771">
        <v>6550</v>
      </c>
    </row>
    <row r="675" spans="35:64" x14ac:dyDescent="0.3">
      <c r="AI675" s="763" t="s">
        <v>1165</v>
      </c>
      <c r="AJ675" s="764">
        <v>53700</v>
      </c>
      <c r="AK675" s="765">
        <v>425</v>
      </c>
      <c r="AL675" s="765">
        <v>32.799999999999997</v>
      </c>
      <c r="AM675" s="765">
        <v>409</v>
      </c>
      <c r="AN675" s="765">
        <v>52.6</v>
      </c>
      <c r="AO675" s="767" t="s">
        <v>1166</v>
      </c>
      <c r="AP675" s="767">
        <v>99</v>
      </c>
      <c r="AQ675" s="765">
        <v>51</v>
      </c>
      <c r="AR675" s="769">
        <v>14</v>
      </c>
      <c r="AS675" s="766">
        <v>311</v>
      </c>
      <c r="AT675" s="765">
        <v>463</v>
      </c>
      <c r="AU675" s="767">
        <v>3.59</v>
      </c>
      <c r="AV675" s="768">
        <v>8.94</v>
      </c>
      <c r="AW675" s="765">
        <v>1800</v>
      </c>
      <c r="AX675" s="765">
        <v>8280</v>
      </c>
      <c r="AY675" s="765">
        <v>180</v>
      </c>
      <c r="AZ675" s="765">
        <v>12100</v>
      </c>
      <c r="BA675" s="765">
        <v>825</v>
      </c>
      <c r="BB675" s="765">
        <v>3950</v>
      </c>
      <c r="BC675" s="765">
        <v>108</v>
      </c>
      <c r="BD675" s="765">
        <v>6050</v>
      </c>
      <c r="BE675" s="767">
        <v>0.71328110302404524</v>
      </c>
      <c r="BF675" s="768">
        <v>387.4</v>
      </c>
      <c r="BG675" s="765">
        <v>92500</v>
      </c>
      <c r="BH675" s="765">
        <v>31000</v>
      </c>
      <c r="BI675" s="765">
        <v>40500</v>
      </c>
      <c r="BJ675" s="765">
        <v>286</v>
      </c>
      <c r="BK675" s="765">
        <v>2460</v>
      </c>
      <c r="BL675" s="771">
        <v>6010</v>
      </c>
    </row>
    <row r="676" spans="35:64" x14ac:dyDescent="0.3">
      <c r="AI676" s="763" t="s">
        <v>1167</v>
      </c>
      <c r="AJ676" s="764">
        <v>48700</v>
      </c>
      <c r="AK676" s="765">
        <v>416</v>
      </c>
      <c r="AL676" s="765">
        <v>29.8</v>
      </c>
      <c r="AM676" s="765">
        <v>406</v>
      </c>
      <c r="AN676" s="765">
        <v>48</v>
      </c>
      <c r="AO676" s="767" t="s">
        <v>1168</v>
      </c>
      <c r="AP676" s="767">
        <v>94</v>
      </c>
      <c r="AQ676" s="769">
        <v>50</v>
      </c>
      <c r="AR676" s="769">
        <v>14</v>
      </c>
      <c r="AS676" s="766">
        <v>283</v>
      </c>
      <c r="AT676" s="765">
        <v>421</v>
      </c>
      <c r="AU676" s="767">
        <v>3.89</v>
      </c>
      <c r="AV676" s="768">
        <v>9.75</v>
      </c>
      <c r="AW676" s="765">
        <v>1600</v>
      </c>
      <c r="AX676" s="765">
        <v>7510</v>
      </c>
      <c r="AY676" s="765">
        <v>178</v>
      </c>
      <c r="AZ676" s="765">
        <v>11000</v>
      </c>
      <c r="BA676" s="765">
        <v>754</v>
      </c>
      <c r="BB676" s="765">
        <v>3630</v>
      </c>
      <c r="BC676" s="765">
        <v>108</v>
      </c>
      <c r="BD676" s="765">
        <v>5550</v>
      </c>
      <c r="BE676" s="767">
        <v>0.70595677570333815</v>
      </c>
      <c r="BF676" s="768">
        <v>383.3</v>
      </c>
      <c r="BG676" s="765">
        <v>74000</v>
      </c>
      <c r="BH676" s="765">
        <v>27700</v>
      </c>
      <c r="BI676" s="765">
        <v>39900</v>
      </c>
      <c r="BJ676" s="765">
        <v>260</v>
      </c>
      <c r="BK676" s="765">
        <v>2260</v>
      </c>
      <c r="BL676" s="771">
        <v>5500</v>
      </c>
    </row>
    <row r="677" spans="35:64" x14ac:dyDescent="0.3">
      <c r="AI677" s="763" t="s">
        <v>1169</v>
      </c>
      <c r="AJ677" s="764">
        <v>44200</v>
      </c>
      <c r="AK677" s="765">
        <v>407</v>
      </c>
      <c r="AL677" s="765">
        <v>27.2</v>
      </c>
      <c r="AM677" s="765">
        <v>404</v>
      </c>
      <c r="AN677" s="765">
        <v>43.7</v>
      </c>
      <c r="AO677" s="767" t="s">
        <v>1170</v>
      </c>
      <c r="AP677" s="767">
        <v>89</v>
      </c>
      <c r="AQ677" s="769">
        <v>48</v>
      </c>
      <c r="AR677" s="769">
        <v>14</v>
      </c>
      <c r="AS677" s="766">
        <v>257</v>
      </c>
      <c r="AT677" s="765">
        <v>382</v>
      </c>
      <c r="AU677" s="767">
        <v>4.2300000000000004</v>
      </c>
      <c r="AV677" s="768">
        <v>10.7</v>
      </c>
      <c r="AW677" s="765">
        <v>1410</v>
      </c>
      <c r="AX677" s="765">
        <v>6790</v>
      </c>
      <c r="AY677" s="765">
        <v>175</v>
      </c>
      <c r="AZ677" s="765">
        <v>9880</v>
      </c>
      <c r="BA677" s="765">
        <v>670</v>
      </c>
      <c r="BB677" s="765">
        <v>3250</v>
      </c>
      <c r="BC677" s="765">
        <v>107</v>
      </c>
      <c r="BD677" s="765">
        <v>4980</v>
      </c>
      <c r="BE677" s="767">
        <v>0.69518918549553099</v>
      </c>
      <c r="BF677" s="768">
        <v>377.6</v>
      </c>
      <c r="BG677" s="765">
        <v>56500</v>
      </c>
      <c r="BH677" s="765">
        <v>23900</v>
      </c>
      <c r="BI677" s="765">
        <v>38900</v>
      </c>
      <c r="BJ677" s="765">
        <v>230</v>
      </c>
      <c r="BK677" s="765">
        <v>2040</v>
      </c>
      <c r="BL677" s="771">
        <v>4920</v>
      </c>
    </row>
    <row r="678" spans="35:64" x14ac:dyDescent="0.3">
      <c r="AI678" s="763" t="s">
        <v>1171</v>
      </c>
      <c r="AJ678" s="764">
        <v>39900</v>
      </c>
      <c r="AK678" s="765">
        <v>399</v>
      </c>
      <c r="AL678" s="765">
        <v>24.9</v>
      </c>
      <c r="AM678" s="765">
        <v>401</v>
      </c>
      <c r="AN678" s="765">
        <v>39.6</v>
      </c>
      <c r="AO678" s="767" t="s">
        <v>1172</v>
      </c>
      <c r="AP678" s="767">
        <v>84</v>
      </c>
      <c r="AQ678" s="769">
        <v>46</v>
      </c>
      <c r="AR678" s="769">
        <v>14</v>
      </c>
      <c r="AS678" s="766">
        <v>233</v>
      </c>
      <c r="AT678" s="765">
        <v>347</v>
      </c>
      <c r="AU678" s="767">
        <v>4.62</v>
      </c>
      <c r="AV678" s="768">
        <v>11.8</v>
      </c>
      <c r="AW678" s="765">
        <v>1250</v>
      </c>
      <c r="AX678" s="765">
        <v>6140</v>
      </c>
      <c r="AY678" s="765">
        <v>172</v>
      </c>
      <c r="AZ678" s="765">
        <v>8880</v>
      </c>
      <c r="BA678" s="765">
        <v>601</v>
      </c>
      <c r="BB678" s="765">
        <v>2940</v>
      </c>
      <c r="BC678" s="765">
        <v>106</v>
      </c>
      <c r="BD678" s="765">
        <v>4490</v>
      </c>
      <c r="BE678" s="767">
        <v>0.68614275700010174</v>
      </c>
      <c r="BF678" s="768">
        <v>372.4</v>
      </c>
      <c r="BG678" s="765">
        <v>43400</v>
      </c>
      <c r="BH678" s="765">
        <v>20800</v>
      </c>
      <c r="BI678" s="765">
        <v>38100</v>
      </c>
      <c r="BJ678" s="765">
        <v>205</v>
      </c>
      <c r="BK678" s="765">
        <v>1840</v>
      </c>
      <c r="BL678" s="771">
        <v>4430</v>
      </c>
    </row>
    <row r="679" spans="35:64" x14ac:dyDescent="0.3">
      <c r="AI679" s="763" t="s">
        <v>1173</v>
      </c>
      <c r="AJ679" s="764">
        <v>36600</v>
      </c>
      <c r="AK679" s="765">
        <v>393</v>
      </c>
      <c r="AL679" s="765">
        <v>22.6</v>
      </c>
      <c r="AM679" s="765">
        <v>399</v>
      </c>
      <c r="AN679" s="765">
        <v>36.6</v>
      </c>
      <c r="AO679" s="767" t="s">
        <v>1174</v>
      </c>
      <c r="AP679" s="767">
        <v>80</v>
      </c>
      <c r="AQ679" s="769">
        <v>45</v>
      </c>
      <c r="AR679" s="769">
        <v>14</v>
      </c>
      <c r="AS679" s="766">
        <v>211</v>
      </c>
      <c r="AT679" s="765">
        <v>314</v>
      </c>
      <c r="AU679" s="767">
        <v>5.0599999999999996</v>
      </c>
      <c r="AV679" s="768">
        <v>12.8</v>
      </c>
      <c r="AW679" s="765">
        <v>1100</v>
      </c>
      <c r="AX679" s="765">
        <v>5530</v>
      </c>
      <c r="AY679" s="765">
        <v>170</v>
      </c>
      <c r="AZ679" s="765">
        <v>7970</v>
      </c>
      <c r="BA679" s="765">
        <v>536</v>
      </c>
      <c r="BB679" s="765">
        <v>2640</v>
      </c>
      <c r="BC679" s="765">
        <v>105</v>
      </c>
      <c r="BD679" s="765">
        <v>4030</v>
      </c>
      <c r="BE679" s="767">
        <v>0.67822556695905822</v>
      </c>
      <c r="BF679" s="768">
        <v>368</v>
      </c>
      <c r="BG679" s="765">
        <v>32900</v>
      </c>
      <c r="BH679" s="765">
        <v>18200</v>
      </c>
      <c r="BI679" s="765">
        <v>37400</v>
      </c>
      <c r="BJ679" s="765">
        <v>182</v>
      </c>
      <c r="BK679" s="765">
        <v>1660</v>
      </c>
      <c r="BL679" s="771">
        <v>3970</v>
      </c>
    </row>
    <row r="680" spans="35:64" x14ac:dyDescent="0.3">
      <c r="AI680" s="763" t="s">
        <v>1175</v>
      </c>
      <c r="AJ680" s="764">
        <v>33500</v>
      </c>
      <c r="AK680" s="765">
        <v>387</v>
      </c>
      <c r="AL680" s="765">
        <v>21.1</v>
      </c>
      <c r="AM680" s="765">
        <v>398</v>
      </c>
      <c r="AN680" s="765">
        <v>33.299999999999997</v>
      </c>
      <c r="AO680" s="767" t="s">
        <v>1176</v>
      </c>
      <c r="AP680" s="767">
        <v>75</v>
      </c>
      <c r="AQ680" s="769">
        <v>44</v>
      </c>
      <c r="AR680" s="769">
        <v>14</v>
      </c>
      <c r="AS680" s="766">
        <v>193</v>
      </c>
      <c r="AT680" s="765">
        <v>287</v>
      </c>
      <c r="AU680" s="767">
        <v>5.45</v>
      </c>
      <c r="AV680" s="768">
        <v>14.2</v>
      </c>
      <c r="AW680" s="765">
        <v>997</v>
      </c>
      <c r="AX680" s="765">
        <v>5070</v>
      </c>
      <c r="AY680" s="765">
        <v>168</v>
      </c>
      <c r="AZ680" s="765">
        <v>7140</v>
      </c>
      <c r="BA680" s="765">
        <v>481</v>
      </c>
      <c r="BB680" s="765">
        <v>2380</v>
      </c>
      <c r="BC680" s="765">
        <v>104</v>
      </c>
      <c r="BD680" s="765">
        <v>3630</v>
      </c>
      <c r="BE680" s="767">
        <v>0.67112182843673363</v>
      </c>
      <c r="BF680" s="768">
        <v>363.3</v>
      </c>
      <c r="BG680" s="765">
        <v>24800</v>
      </c>
      <c r="BH680" s="765">
        <v>15900</v>
      </c>
      <c r="BI680" s="765">
        <v>36700</v>
      </c>
      <c r="BJ680" s="765">
        <v>162</v>
      </c>
      <c r="BK680" s="765">
        <v>1500</v>
      </c>
      <c r="BL680" s="771">
        <v>3550</v>
      </c>
    </row>
    <row r="681" spans="35:64" x14ac:dyDescent="0.3">
      <c r="AI681" s="763" t="s">
        <v>1177</v>
      </c>
      <c r="AJ681" s="764">
        <v>30100</v>
      </c>
      <c r="AK681" s="765">
        <v>380</v>
      </c>
      <c r="AL681" s="765">
        <v>18.899999999999999</v>
      </c>
      <c r="AM681" s="765">
        <v>395</v>
      </c>
      <c r="AN681" s="765">
        <v>30.2</v>
      </c>
      <c r="AO681" s="767" t="s">
        <v>1178</v>
      </c>
      <c r="AP681" s="767">
        <v>71</v>
      </c>
      <c r="AQ681" s="769">
        <v>42</v>
      </c>
      <c r="AR681" s="769">
        <v>14</v>
      </c>
      <c r="AS681" s="766">
        <v>176</v>
      </c>
      <c r="AT681" s="765">
        <v>262</v>
      </c>
      <c r="AU681" s="767">
        <v>5.98</v>
      </c>
      <c r="AV681" s="768">
        <v>15.2</v>
      </c>
      <c r="AW681" s="765">
        <v>894</v>
      </c>
      <c r="AX681" s="765">
        <v>4620</v>
      </c>
      <c r="AY681" s="765">
        <v>166</v>
      </c>
      <c r="AZ681" s="765">
        <v>6370</v>
      </c>
      <c r="BA681" s="765">
        <v>426</v>
      </c>
      <c r="BB681" s="765">
        <v>2120</v>
      </c>
      <c r="BC681" s="765">
        <v>103</v>
      </c>
      <c r="BD681" s="765">
        <v>3240</v>
      </c>
      <c r="BE681" s="767">
        <v>0.66215491297565388</v>
      </c>
      <c r="BF681" s="768">
        <v>359.4</v>
      </c>
      <c r="BG681" s="765">
        <v>18500</v>
      </c>
      <c r="BH681" s="765">
        <v>13800</v>
      </c>
      <c r="BI681" s="765">
        <v>36000</v>
      </c>
      <c r="BJ681" s="765">
        <v>143</v>
      </c>
      <c r="BK681" s="765">
        <v>1340</v>
      </c>
      <c r="BL681" s="771">
        <v>3170</v>
      </c>
    </row>
    <row r="682" spans="35:64" x14ac:dyDescent="0.3">
      <c r="AI682" s="763" t="s">
        <v>1179</v>
      </c>
      <c r="AJ682" s="764">
        <v>27600</v>
      </c>
      <c r="AK682" s="765">
        <v>375</v>
      </c>
      <c r="AL682" s="765">
        <v>17.3</v>
      </c>
      <c r="AM682" s="765">
        <v>394</v>
      </c>
      <c r="AN682" s="765">
        <v>27.7</v>
      </c>
      <c r="AO682" s="767" t="s">
        <v>1180</v>
      </c>
      <c r="AP682" s="767">
        <v>68</v>
      </c>
      <c r="AQ682" s="769">
        <v>41</v>
      </c>
      <c r="AR682" s="769">
        <v>14</v>
      </c>
      <c r="AS682" s="766">
        <v>159</v>
      </c>
      <c r="AT682" s="765">
        <v>237</v>
      </c>
      <c r="AU682" s="767">
        <v>6.54</v>
      </c>
      <c r="AV682" s="768">
        <v>16.899999999999999</v>
      </c>
      <c r="AW682" s="765">
        <v>788</v>
      </c>
      <c r="AX682" s="765">
        <v>4150</v>
      </c>
      <c r="AY682" s="765">
        <v>165</v>
      </c>
      <c r="AZ682" s="765">
        <v>5810</v>
      </c>
      <c r="BA682" s="765">
        <v>388</v>
      </c>
      <c r="BB682" s="765">
        <v>1940</v>
      </c>
      <c r="BC682" s="765">
        <v>103</v>
      </c>
      <c r="BD682" s="765">
        <v>2960</v>
      </c>
      <c r="BE682" s="767">
        <v>0.65641761914116403</v>
      </c>
      <c r="BF682" s="768">
        <v>356.4</v>
      </c>
      <c r="BG682" s="765">
        <v>14500</v>
      </c>
      <c r="BH682" s="765">
        <v>12300</v>
      </c>
      <c r="BI682" s="765">
        <v>35600</v>
      </c>
      <c r="BJ682" s="765">
        <v>130</v>
      </c>
      <c r="BK682" s="765">
        <v>1230</v>
      </c>
      <c r="BL682" s="771">
        <v>2890</v>
      </c>
    </row>
    <row r="683" spans="35:64" x14ac:dyDescent="0.3">
      <c r="AI683" s="763" t="s">
        <v>1181</v>
      </c>
      <c r="AJ683" s="764">
        <v>25000</v>
      </c>
      <c r="AK683" s="765">
        <v>372</v>
      </c>
      <c r="AL683" s="765">
        <v>16.399999999999999</v>
      </c>
      <c r="AM683" s="765">
        <v>374</v>
      </c>
      <c r="AN683" s="765">
        <v>26.2</v>
      </c>
      <c r="AO683" s="767" t="s">
        <v>1182</v>
      </c>
      <c r="AP683" s="767">
        <v>65</v>
      </c>
      <c r="AQ683" s="769">
        <v>41</v>
      </c>
      <c r="AR683" s="769">
        <v>14</v>
      </c>
      <c r="AS683" s="766">
        <v>145</v>
      </c>
      <c r="AT683" s="768">
        <v>216</v>
      </c>
      <c r="AU683" s="767">
        <v>7.11</v>
      </c>
      <c r="AV683" s="768">
        <v>18.5</v>
      </c>
      <c r="AW683" s="765">
        <v>712</v>
      </c>
      <c r="AX683" s="765">
        <v>3790</v>
      </c>
      <c r="AY683" s="765">
        <v>163</v>
      </c>
      <c r="AZ683" s="765">
        <v>5260</v>
      </c>
      <c r="BA683" s="765">
        <v>350</v>
      </c>
      <c r="BB683" s="765">
        <v>1760</v>
      </c>
      <c r="BC683" s="765">
        <v>102</v>
      </c>
      <c r="BD683" s="765">
        <v>2680</v>
      </c>
      <c r="BE683" s="767">
        <v>0.65169470832951215</v>
      </c>
      <c r="BF683" s="768">
        <v>353.7</v>
      </c>
      <c r="BG683" s="765">
        <v>11100</v>
      </c>
      <c r="BH683" s="765">
        <v>11000</v>
      </c>
      <c r="BI683" s="765">
        <v>35200</v>
      </c>
      <c r="BJ683" s="765">
        <v>117</v>
      </c>
      <c r="BK683" s="765">
        <v>1110</v>
      </c>
      <c r="BL683" s="771">
        <v>2610</v>
      </c>
    </row>
    <row r="684" spans="35:64" x14ac:dyDescent="0.3">
      <c r="AI684" s="763" t="s">
        <v>1183</v>
      </c>
      <c r="AJ684" s="764">
        <v>22800</v>
      </c>
      <c r="AK684" s="765">
        <v>368</v>
      </c>
      <c r="AL684" s="765">
        <v>15</v>
      </c>
      <c r="AM684" s="765">
        <v>373</v>
      </c>
      <c r="AN684" s="765">
        <v>23.9</v>
      </c>
      <c r="AO684" s="767" t="s">
        <v>1184</v>
      </c>
      <c r="AP684" s="767">
        <v>62</v>
      </c>
      <c r="AQ684" s="769">
        <v>39</v>
      </c>
      <c r="AR684" s="769">
        <v>14</v>
      </c>
      <c r="AS684" s="766">
        <v>132</v>
      </c>
      <c r="AT684" s="768">
        <v>196</v>
      </c>
      <c r="AU684" s="768">
        <v>7.14</v>
      </c>
      <c r="AV684" s="768">
        <v>19.5</v>
      </c>
      <c r="AW684" s="765">
        <v>636</v>
      </c>
      <c r="AX684" s="765">
        <v>3420</v>
      </c>
      <c r="AY684" s="765">
        <v>162</v>
      </c>
      <c r="AZ684" s="765">
        <v>4690</v>
      </c>
      <c r="BA684" s="765">
        <v>310</v>
      </c>
      <c r="BB684" s="765">
        <v>1570</v>
      </c>
      <c r="BC684" s="765">
        <v>102</v>
      </c>
      <c r="BD684" s="765">
        <v>2390</v>
      </c>
      <c r="BE684" s="767">
        <v>0.64305375183770019</v>
      </c>
      <c r="BF684" s="768">
        <v>349.8</v>
      </c>
      <c r="BG684" s="765">
        <v>8190</v>
      </c>
      <c r="BH684" s="765">
        <v>9500</v>
      </c>
      <c r="BI684" s="765">
        <v>34500</v>
      </c>
      <c r="BJ684" s="765">
        <v>103</v>
      </c>
      <c r="BK684" s="765">
        <v>993</v>
      </c>
      <c r="BL684" s="771">
        <v>2330</v>
      </c>
    </row>
    <row r="685" spans="35:64" x14ac:dyDescent="0.3">
      <c r="AI685" s="763" t="s">
        <v>1185</v>
      </c>
      <c r="AJ685" s="764">
        <v>20600</v>
      </c>
      <c r="AK685" s="765">
        <v>364</v>
      </c>
      <c r="AL685" s="765">
        <v>13.3</v>
      </c>
      <c r="AM685" s="765">
        <v>371</v>
      </c>
      <c r="AN685" s="765">
        <v>21.8</v>
      </c>
      <c r="AO685" s="767" t="s">
        <v>1186</v>
      </c>
      <c r="AP685" s="767">
        <v>59</v>
      </c>
      <c r="AQ685" s="772">
        <v>39</v>
      </c>
      <c r="AR685" s="769">
        <v>14</v>
      </c>
      <c r="AS685" s="766">
        <v>120</v>
      </c>
      <c r="AT685" s="768">
        <v>179</v>
      </c>
      <c r="AU685" s="767">
        <v>7.8</v>
      </c>
      <c r="AV685" s="768">
        <v>21.3</v>
      </c>
      <c r="AW685" s="765">
        <v>575</v>
      </c>
      <c r="AX685" s="765">
        <v>3120</v>
      </c>
      <c r="AY685" s="765">
        <v>161</v>
      </c>
      <c r="AZ685" s="765">
        <v>4260</v>
      </c>
      <c r="BA685" s="765">
        <v>283</v>
      </c>
      <c r="BB685" s="765">
        <v>1430</v>
      </c>
      <c r="BC685" s="765">
        <v>101</v>
      </c>
      <c r="BD685" s="765">
        <v>2180</v>
      </c>
      <c r="BE685" s="767">
        <v>0.64008389859109083</v>
      </c>
      <c r="BF685" s="768">
        <v>347.3</v>
      </c>
      <c r="BG685" s="765">
        <v>6330</v>
      </c>
      <c r="BH685" s="765">
        <v>8520</v>
      </c>
      <c r="BI685" s="765">
        <v>34200</v>
      </c>
      <c r="BJ685" s="765">
        <v>93.3</v>
      </c>
      <c r="BK685" s="765">
        <v>906</v>
      </c>
      <c r="BL685" s="771">
        <v>2120</v>
      </c>
    </row>
    <row r="686" spans="35:64" x14ac:dyDescent="0.3">
      <c r="AI686" s="763" t="s">
        <v>1187</v>
      </c>
      <c r="AJ686" s="764">
        <v>18800</v>
      </c>
      <c r="AK686" s="765">
        <v>360</v>
      </c>
      <c r="AL686" s="765">
        <v>12.3</v>
      </c>
      <c r="AM686" s="765">
        <v>370</v>
      </c>
      <c r="AN686" s="765">
        <v>19.8</v>
      </c>
      <c r="AO686" s="767" t="s">
        <v>1188</v>
      </c>
      <c r="AP686" s="767">
        <v>58</v>
      </c>
      <c r="AQ686" s="769">
        <v>38</v>
      </c>
      <c r="AR686" s="769">
        <v>14</v>
      </c>
      <c r="AS686" s="766">
        <v>109</v>
      </c>
      <c r="AT686" s="768">
        <v>162</v>
      </c>
      <c r="AU686" s="767">
        <v>8.51</v>
      </c>
      <c r="AV686" s="768">
        <v>24.1</v>
      </c>
      <c r="AW686" s="765">
        <v>516</v>
      </c>
      <c r="AX686" s="765">
        <v>2830</v>
      </c>
      <c r="AY686" s="765">
        <v>159</v>
      </c>
      <c r="AZ686" s="765">
        <v>3840</v>
      </c>
      <c r="BA686" s="765">
        <v>229</v>
      </c>
      <c r="BB686" s="765">
        <v>1220</v>
      </c>
      <c r="BC686" s="765">
        <v>95.5</v>
      </c>
      <c r="BD686" s="765">
        <v>1860</v>
      </c>
      <c r="BE686" s="767">
        <v>0.60471535093030493</v>
      </c>
      <c r="BF686" s="768">
        <v>345.8</v>
      </c>
      <c r="BG686" s="765">
        <v>5140</v>
      </c>
      <c r="BH686" s="765">
        <v>6830</v>
      </c>
      <c r="BI686" s="765">
        <v>32300</v>
      </c>
      <c r="BJ686" s="765">
        <v>79.2</v>
      </c>
      <c r="BK686" s="765">
        <v>810</v>
      </c>
      <c r="BL686" s="771">
        <v>1900</v>
      </c>
    </row>
    <row r="687" spans="35:64" x14ac:dyDescent="0.3">
      <c r="AI687" s="763" t="s">
        <v>1189</v>
      </c>
      <c r="AJ687" s="764">
        <v>17100</v>
      </c>
      <c r="AK687" s="765">
        <v>356</v>
      </c>
      <c r="AL687" s="765">
        <v>11.2</v>
      </c>
      <c r="AM687" s="765">
        <v>369</v>
      </c>
      <c r="AN687" s="765">
        <v>18</v>
      </c>
      <c r="AO687" s="767" t="s">
        <v>1190</v>
      </c>
      <c r="AP687" s="767">
        <v>55</v>
      </c>
      <c r="AQ687" s="769">
        <v>38</v>
      </c>
      <c r="AR687" s="770">
        <v>14</v>
      </c>
      <c r="AS687" s="766">
        <v>99</v>
      </c>
      <c r="AT687" s="768">
        <v>147</v>
      </c>
      <c r="AU687" s="767">
        <v>9.34</v>
      </c>
      <c r="AV687" s="768">
        <v>26</v>
      </c>
      <c r="AW687" s="765">
        <v>463</v>
      </c>
      <c r="AX687" s="765">
        <v>2570</v>
      </c>
      <c r="AY687" s="765">
        <v>159</v>
      </c>
      <c r="AZ687" s="765">
        <v>3480</v>
      </c>
      <c r="BA687" s="765">
        <v>207</v>
      </c>
      <c r="BB687" s="765">
        <v>1110</v>
      </c>
      <c r="BC687" s="765">
        <v>95.2</v>
      </c>
      <c r="BD687" s="765">
        <v>1680</v>
      </c>
      <c r="BE687" s="767">
        <v>0.60062464025501394</v>
      </c>
      <c r="BF687" s="768">
        <v>344.1</v>
      </c>
      <c r="BG687" s="765">
        <v>3910</v>
      </c>
      <c r="BH687" s="765">
        <v>6120</v>
      </c>
      <c r="BI687" s="765">
        <v>32100</v>
      </c>
      <c r="BJ687" s="765">
        <v>71.5</v>
      </c>
      <c r="BK687" s="765">
        <v>736</v>
      </c>
      <c r="BL687" s="771">
        <v>1730</v>
      </c>
    </row>
    <row r="688" spans="35:64" x14ac:dyDescent="0.3">
      <c r="AI688" s="763" t="s">
        <v>1191</v>
      </c>
      <c r="AJ688" s="764">
        <v>15500</v>
      </c>
      <c r="AK688" s="765">
        <v>363</v>
      </c>
      <c r="AL688" s="765">
        <v>13</v>
      </c>
      <c r="AM688" s="765">
        <v>257</v>
      </c>
      <c r="AN688" s="765">
        <v>21.7</v>
      </c>
      <c r="AO688" s="767" t="s">
        <v>1192</v>
      </c>
      <c r="AP688" s="767">
        <v>53</v>
      </c>
      <c r="AQ688" s="769">
        <v>37</v>
      </c>
      <c r="AR688" s="770">
        <v>14</v>
      </c>
      <c r="AS688" s="766">
        <v>90</v>
      </c>
      <c r="AT688" s="768">
        <v>134</v>
      </c>
      <c r="AU688" s="767">
        <v>10.3</v>
      </c>
      <c r="AV688" s="768">
        <v>28.6</v>
      </c>
      <c r="AW688" s="765">
        <v>415</v>
      </c>
      <c r="AX688" s="765">
        <v>2330</v>
      </c>
      <c r="AY688" s="765">
        <v>158</v>
      </c>
      <c r="AZ688" s="765">
        <v>3140</v>
      </c>
      <c r="BA688" s="765">
        <v>186</v>
      </c>
      <c r="BB688" s="765">
        <v>1000</v>
      </c>
      <c r="BC688" s="765">
        <v>94.8</v>
      </c>
      <c r="BD688" s="765">
        <v>1520</v>
      </c>
      <c r="BE688" s="767">
        <v>0.59591590333568389</v>
      </c>
      <c r="BF688" s="768">
        <v>342.2</v>
      </c>
      <c r="BG688" s="765">
        <v>2940</v>
      </c>
      <c r="BH688" s="765">
        <v>5430</v>
      </c>
      <c r="BI688" s="765">
        <v>31700</v>
      </c>
      <c r="BJ688" s="765">
        <v>64.2</v>
      </c>
      <c r="BK688" s="765">
        <v>667</v>
      </c>
      <c r="BL688" s="771">
        <v>1550</v>
      </c>
    </row>
    <row r="689" spans="35:64" x14ac:dyDescent="0.3">
      <c r="AI689" s="763" t="s">
        <v>1193</v>
      </c>
      <c r="AJ689" s="764">
        <v>14000</v>
      </c>
      <c r="AK689" s="765">
        <v>360</v>
      </c>
      <c r="AL689" s="765">
        <v>11.4</v>
      </c>
      <c r="AM689" s="765">
        <v>256</v>
      </c>
      <c r="AN689" s="765">
        <v>19.899999999999999</v>
      </c>
      <c r="AO689" s="767" t="s">
        <v>1194</v>
      </c>
      <c r="AP689" s="767">
        <v>51</v>
      </c>
      <c r="AQ689" s="769">
        <v>36</v>
      </c>
      <c r="AR689" s="770">
        <v>14</v>
      </c>
      <c r="AS689" s="766">
        <v>82</v>
      </c>
      <c r="AT689" s="768">
        <v>122</v>
      </c>
      <c r="AU689" s="767">
        <v>5.92</v>
      </c>
      <c r="AV689" s="768">
        <v>24.6</v>
      </c>
      <c r="AW689" s="765">
        <v>365</v>
      </c>
      <c r="AX689" s="765">
        <v>2010</v>
      </c>
      <c r="AY689" s="765">
        <v>157</v>
      </c>
      <c r="AZ689" s="765">
        <v>2840</v>
      </c>
      <c r="BA689" s="765">
        <v>167</v>
      </c>
      <c r="BB689" s="765">
        <v>904</v>
      </c>
      <c r="BC689" s="765">
        <v>94.3</v>
      </c>
      <c r="BD689" s="765">
        <v>1370</v>
      </c>
      <c r="BE689" s="767">
        <v>0.59145798112605519</v>
      </c>
      <c r="BF689" s="768">
        <v>340.2</v>
      </c>
      <c r="BG689" s="765">
        <v>2230</v>
      </c>
      <c r="BH689" s="765">
        <v>4840</v>
      </c>
      <c r="BI689" s="765">
        <v>31500</v>
      </c>
      <c r="BJ689" s="765">
        <v>57.6</v>
      </c>
      <c r="BK689" s="765">
        <v>602</v>
      </c>
      <c r="BL689" s="771">
        <v>1400</v>
      </c>
    </row>
    <row r="690" spans="35:64" x14ac:dyDescent="0.3">
      <c r="AI690" s="763" t="s">
        <v>1195</v>
      </c>
      <c r="AJ690" s="764">
        <v>12900</v>
      </c>
      <c r="AK690" s="765">
        <v>357</v>
      </c>
      <c r="AL690" s="765">
        <v>10.5</v>
      </c>
      <c r="AM690" s="765">
        <v>255</v>
      </c>
      <c r="AN690" s="765">
        <v>18.3</v>
      </c>
      <c r="AO690" s="767" t="s">
        <v>1196</v>
      </c>
      <c r="AP690" s="767">
        <v>50</v>
      </c>
      <c r="AQ690" s="769">
        <v>36</v>
      </c>
      <c r="AR690" s="770">
        <v>14</v>
      </c>
      <c r="AS690" s="766">
        <v>74</v>
      </c>
      <c r="AT690" s="768">
        <v>110</v>
      </c>
      <c r="AU690" s="767">
        <v>6.43</v>
      </c>
      <c r="AV690" s="768">
        <v>28.1</v>
      </c>
      <c r="AW690" s="765">
        <v>331</v>
      </c>
      <c r="AX690" s="765">
        <v>1840</v>
      </c>
      <c r="AY690" s="765">
        <v>156</v>
      </c>
      <c r="AZ690" s="765">
        <v>2560</v>
      </c>
      <c r="BA690" s="765">
        <v>151</v>
      </c>
      <c r="BB690" s="765">
        <v>817</v>
      </c>
      <c r="BC690" s="765">
        <v>94</v>
      </c>
      <c r="BD690" s="765">
        <v>1240</v>
      </c>
      <c r="BE690" s="767">
        <v>0.58841751807801224</v>
      </c>
      <c r="BF690" s="768">
        <v>338</v>
      </c>
      <c r="BG690" s="765">
        <v>1680</v>
      </c>
      <c r="BH690" s="765">
        <v>4310</v>
      </c>
      <c r="BI690" s="765">
        <v>31200</v>
      </c>
      <c r="BJ690" s="765">
        <v>51.8</v>
      </c>
      <c r="BK690" s="765">
        <v>544</v>
      </c>
      <c r="BL690" s="771">
        <v>1270</v>
      </c>
    </row>
    <row r="691" spans="35:64" x14ac:dyDescent="0.3">
      <c r="AI691" s="763" t="s">
        <v>1197</v>
      </c>
      <c r="AJ691" s="764">
        <v>11600</v>
      </c>
      <c r="AK691" s="765">
        <v>353</v>
      </c>
      <c r="AL691" s="765">
        <v>9.5</v>
      </c>
      <c r="AM691" s="765">
        <v>254</v>
      </c>
      <c r="AN691" s="765">
        <v>16.399999999999999</v>
      </c>
      <c r="AO691" s="767" t="s">
        <v>1198</v>
      </c>
      <c r="AP691" s="767">
        <v>44</v>
      </c>
      <c r="AQ691" s="769">
        <v>27</v>
      </c>
      <c r="AR691" s="770">
        <v>14</v>
      </c>
      <c r="AS691" s="766">
        <v>68</v>
      </c>
      <c r="AT691" s="768">
        <v>101</v>
      </c>
      <c r="AU691" s="767">
        <v>6.97</v>
      </c>
      <c r="AV691" s="768">
        <v>30.5</v>
      </c>
      <c r="AW691" s="765">
        <v>301</v>
      </c>
      <c r="AX691" s="765">
        <v>1690</v>
      </c>
      <c r="AY691" s="765">
        <v>154</v>
      </c>
      <c r="AZ691" s="765">
        <v>2270</v>
      </c>
      <c r="BA691" s="765">
        <v>61.5</v>
      </c>
      <c r="BB691" s="765">
        <v>478</v>
      </c>
      <c r="BC691" s="765">
        <v>63</v>
      </c>
      <c r="BD691" s="765">
        <v>732</v>
      </c>
      <c r="BE691" s="767">
        <v>0.40628801183775282</v>
      </c>
      <c r="BF691" s="768">
        <v>341.3</v>
      </c>
      <c r="BG691" s="765">
        <v>2110</v>
      </c>
      <c r="BH691" s="765">
        <v>1790</v>
      </c>
      <c r="BI691" s="765">
        <v>21900</v>
      </c>
      <c r="BJ691" s="765">
        <v>30.6</v>
      </c>
      <c r="BK691" s="765">
        <v>452</v>
      </c>
      <c r="BL691" s="771">
        <v>1120</v>
      </c>
    </row>
    <row r="692" spans="35:64" x14ac:dyDescent="0.3">
      <c r="AI692" s="763" t="s">
        <v>1199</v>
      </c>
      <c r="AJ692" s="764">
        <v>10100</v>
      </c>
      <c r="AK692" s="765">
        <v>354</v>
      </c>
      <c r="AL692" s="765">
        <v>9.4</v>
      </c>
      <c r="AM692" s="765">
        <v>205</v>
      </c>
      <c r="AN692" s="765">
        <v>16.8</v>
      </c>
      <c r="AO692" s="767" t="s">
        <v>1200</v>
      </c>
      <c r="AP692" s="767">
        <v>42</v>
      </c>
      <c r="AQ692" s="769">
        <v>26</v>
      </c>
      <c r="AR692" s="770">
        <v>14</v>
      </c>
      <c r="AS692" s="766">
        <v>61</v>
      </c>
      <c r="AT692" s="768">
        <v>91</v>
      </c>
      <c r="AU692" s="767">
        <v>7.74</v>
      </c>
      <c r="AV692" s="768">
        <v>33.700000000000003</v>
      </c>
      <c r="AW692" s="765">
        <v>267</v>
      </c>
      <c r="AX692" s="765">
        <v>1510</v>
      </c>
      <c r="AY692" s="765">
        <v>154</v>
      </c>
      <c r="AZ692" s="765">
        <v>2060</v>
      </c>
      <c r="BA692" s="765">
        <v>55.7</v>
      </c>
      <c r="BB692" s="765">
        <v>435</v>
      </c>
      <c r="BC692" s="765">
        <v>63</v>
      </c>
      <c r="BD692" s="765">
        <v>664</v>
      </c>
      <c r="BE692" s="767">
        <v>0.40342365178863759</v>
      </c>
      <c r="BF692" s="768">
        <v>340.1</v>
      </c>
      <c r="BG692" s="765">
        <v>1600</v>
      </c>
      <c r="BH692" s="765">
        <v>1610</v>
      </c>
      <c r="BI692" s="765">
        <v>21800</v>
      </c>
      <c r="BJ692" s="765">
        <v>27.7</v>
      </c>
      <c r="BK692" s="765">
        <v>414</v>
      </c>
      <c r="BL692" s="771">
        <v>1010</v>
      </c>
    </row>
    <row r="693" spans="35:64" x14ac:dyDescent="0.3">
      <c r="AI693" s="763" t="s">
        <v>1201</v>
      </c>
      <c r="AJ693" s="764">
        <v>9100</v>
      </c>
      <c r="AK693" s="765">
        <v>350</v>
      </c>
      <c r="AL693" s="765">
        <v>8.6</v>
      </c>
      <c r="AM693" s="765">
        <v>204</v>
      </c>
      <c r="AN693" s="765">
        <v>15.1</v>
      </c>
      <c r="AO693" s="767" t="s">
        <v>1202</v>
      </c>
      <c r="AP693" s="767">
        <v>40</v>
      </c>
      <c r="AQ693" s="769">
        <v>26</v>
      </c>
      <c r="AR693" s="770">
        <v>14</v>
      </c>
      <c r="AS693" s="766">
        <v>53</v>
      </c>
      <c r="AT693" s="768">
        <v>79</v>
      </c>
      <c r="AU693" s="767">
        <v>6.1</v>
      </c>
      <c r="AV693" s="768">
        <v>34.1</v>
      </c>
      <c r="AW693" s="765">
        <v>226</v>
      </c>
      <c r="AX693" s="765">
        <v>1280</v>
      </c>
      <c r="AY693" s="765">
        <v>153</v>
      </c>
      <c r="AZ693" s="765">
        <v>1880</v>
      </c>
      <c r="BA693" s="765">
        <v>50.6</v>
      </c>
      <c r="BB693" s="765">
        <v>397</v>
      </c>
      <c r="BC693" s="765">
        <v>62.7</v>
      </c>
      <c r="BD693" s="765">
        <v>605</v>
      </c>
      <c r="BE693" s="767">
        <v>0.4003467225208947</v>
      </c>
      <c r="BF693" s="768">
        <v>338.7</v>
      </c>
      <c r="BG693" s="765">
        <v>1250</v>
      </c>
      <c r="BH693" s="765">
        <v>1450</v>
      </c>
      <c r="BI693" s="765">
        <v>21600</v>
      </c>
      <c r="BJ693" s="765">
        <v>25.2</v>
      </c>
      <c r="BK693" s="765">
        <v>379</v>
      </c>
      <c r="BL693" s="771">
        <v>925</v>
      </c>
    </row>
    <row r="694" spans="35:64" x14ac:dyDescent="0.3">
      <c r="AI694" s="763" t="s">
        <v>1203</v>
      </c>
      <c r="AJ694" s="764">
        <v>8140</v>
      </c>
      <c r="AK694" s="765">
        <v>347</v>
      </c>
      <c r="AL694" s="765">
        <v>7.7</v>
      </c>
      <c r="AM694" s="765">
        <v>203</v>
      </c>
      <c r="AN694" s="765">
        <v>13.5</v>
      </c>
      <c r="AO694" s="773" t="s">
        <v>1204</v>
      </c>
      <c r="AP694" s="773">
        <v>38</v>
      </c>
      <c r="AQ694" s="769">
        <v>25</v>
      </c>
      <c r="AR694" s="770">
        <v>14</v>
      </c>
      <c r="AS694" s="766">
        <v>48</v>
      </c>
      <c r="AT694" s="768">
        <v>72</v>
      </c>
      <c r="AU694" s="767">
        <v>6.75</v>
      </c>
      <c r="AV694" s="768">
        <v>37.200000000000003</v>
      </c>
      <c r="AW694" s="765">
        <v>201</v>
      </c>
      <c r="AX694" s="765">
        <v>1150</v>
      </c>
      <c r="AY694" s="765">
        <v>152</v>
      </c>
      <c r="AZ694" s="765">
        <v>1680</v>
      </c>
      <c r="BA694" s="765">
        <v>44.8</v>
      </c>
      <c r="BB694" s="765">
        <v>353</v>
      </c>
      <c r="BC694" s="765">
        <v>62.3</v>
      </c>
      <c r="BD694" s="765">
        <v>538</v>
      </c>
      <c r="BE694" s="767">
        <v>0.39744950468894719</v>
      </c>
      <c r="BF694" s="768">
        <v>336.6</v>
      </c>
      <c r="BG694" s="765">
        <v>914</v>
      </c>
      <c r="BH694" s="765">
        <v>1270</v>
      </c>
      <c r="BI694" s="765">
        <v>21400</v>
      </c>
      <c r="BJ694" s="765">
        <v>22.3</v>
      </c>
      <c r="BK694" s="765">
        <v>337</v>
      </c>
      <c r="BL694" s="771">
        <v>823</v>
      </c>
    </row>
    <row r="695" spans="35:64" x14ac:dyDescent="0.3">
      <c r="AI695" s="763" t="s">
        <v>1205</v>
      </c>
      <c r="AJ695" s="764">
        <v>7220</v>
      </c>
      <c r="AK695" s="765">
        <v>358</v>
      </c>
      <c r="AL695" s="765">
        <v>7.9</v>
      </c>
      <c r="AM695" s="765">
        <v>172</v>
      </c>
      <c r="AN695" s="765">
        <v>13.1</v>
      </c>
      <c r="AO695" s="773" t="s">
        <v>1206</v>
      </c>
      <c r="AP695" s="773">
        <v>39</v>
      </c>
      <c r="AQ695" s="769">
        <v>25</v>
      </c>
      <c r="AR695" s="770">
        <v>14</v>
      </c>
      <c r="AS695" s="766">
        <v>43</v>
      </c>
      <c r="AT695" s="768">
        <v>64</v>
      </c>
      <c r="AU695" s="767">
        <v>7.52</v>
      </c>
      <c r="AV695" s="768">
        <v>41.6</v>
      </c>
      <c r="AW695" s="765">
        <v>178</v>
      </c>
      <c r="AX695" s="765">
        <v>1030</v>
      </c>
      <c r="AY695" s="765">
        <v>150</v>
      </c>
      <c r="AZ695" s="765">
        <v>1430</v>
      </c>
      <c r="BA695" s="765">
        <v>24.2</v>
      </c>
      <c r="BB695" s="765">
        <v>236</v>
      </c>
      <c r="BC695" s="765">
        <v>48.9</v>
      </c>
      <c r="BD695" s="765">
        <v>362</v>
      </c>
      <c r="BE695" s="767">
        <v>0.31738620094749959</v>
      </c>
      <c r="BF695" s="768">
        <v>337.2</v>
      </c>
      <c r="BG695" s="765">
        <v>811</v>
      </c>
      <c r="BH695" s="765">
        <v>687</v>
      </c>
      <c r="BI695" s="765">
        <v>17300</v>
      </c>
      <c r="BJ695" s="765">
        <v>14.9</v>
      </c>
      <c r="BK695" s="765">
        <v>277</v>
      </c>
      <c r="BL695" s="771">
        <v>701</v>
      </c>
    </row>
    <row r="696" spans="35:64" x14ac:dyDescent="0.3">
      <c r="AI696" s="763" t="s">
        <v>1207</v>
      </c>
      <c r="AJ696" s="764">
        <v>6450</v>
      </c>
      <c r="AK696" s="765">
        <v>355</v>
      </c>
      <c r="AL696" s="765">
        <v>7.2</v>
      </c>
      <c r="AM696" s="765">
        <v>171</v>
      </c>
      <c r="AN696" s="765">
        <v>11.6</v>
      </c>
      <c r="AO696" s="773" t="s">
        <v>1208</v>
      </c>
      <c r="AP696" s="773">
        <v>37</v>
      </c>
      <c r="AQ696" s="772">
        <v>25</v>
      </c>
      <c r="AR696" s="770">
        <v>14</v>
      </c>
      <c r="AS696" s="766">
        <v>38</v>
      </c>
      <c r="AT696" s="768">
        <v>57</v>
      </c>
      <c r="AU696" s="767">
        <v>6.56</v>
      </c>
      <c r="AV696" s="768">
        <v>42</v>
      </c>
      <c r="AW696" s="765">
        <v>161</v>
      </c>
      <c r="AX696" s="765">
        <v>897</v>
      </c>
      <c r="AY696" s="765">
        <v>149</v>
      </c>
      <c r="AZ696" s="765">
        <v>1280</v>
      </c>
      <c r="BA696" s="765">
        <v>21.4</v>
      </c>
      <c r="BB696" s="765">
        <v>210</v>
      </c>
      <c r="BC696" s="765">
        <v>48.5</v>
      </c>
      <c r="BD696" s="765">
        <v>322</v>
      </c>
      <c r="BE696" s="767">
        <v>0.313900737278692</v>
      </c>
      <c r="BF696" s="768">
        <v>334.9</v>
      </c>
      <c r="BG696" s="765">
        <v>601</v>
      </c>
      <c r="BH696" s="765">
        <v>600</v>
      </c>
      <c r="BI696" s="765">
        <v>17100</v>
      </c>
      <c r="BJ696" s="765">
        <v>13.2</v>
      </c>
      <c r="BK696" s="765">
        <v>247</v>
      </c>
      <c r="BL696" s="771">
        <v>626</v>
      </c>
    </row>
    <row r="697" spans="35:64" x14ac:dyDescent="0.3">
      <c r="AI697" s="763" t="s">
        <v>1209</v>
      </c>
      <c r="AJ697" s="764">
        <v>5730</v>
      </c>
      <c r="AK697" s="765">
        <v>352</v>
      </c>
      <c r="AL697" s="765">
        <v>6.9</v>
      </c>
      <c r="AM697" s="765">
        <v>171</v>
      </c>
      <c r="AN697" s="765">
        <v>9.8000000000000007</v>
      </c>
      <c r="AO697" s="773" t="s">
        <v>1210</v>
      </c>
      <c r="AP697" s="773">
        <v>35</v>
      </c>
      <c r="AQ697" s="770">
        <v>24</v>
      </c>
      <c r="AR697" s="770">
        <v>14</v>
      </c>
      <c r="AS697" s="766">
        <v>34</v>
      </c>
      <c r="AT697" s="765">
        <v>51</v>
      </c>
      <c r="AU697" s="767">
        <v>7.37</v>
      </c>
      <c r="AV697" s="767">
        <v>46.1</v>
      </c>
      <c r="AW697" s="765">
        <v>141</v>
      </c>
      <c r="AX697" s="765">
        <v>796</v>
      </c>
      <c r="AY697" s="765">
        <v>148</v>
      </c>
      <c r="AZ697" s="765">
        <v>1140</v>
      </c>
      <c r="BA697" s="765">
        <v>18.8</v>
      </c>
      <c r="BB697" s="765">
        <v>186</v>
      </c>
      <c r="BC697" s="765">
        <v>48.1</v>
      </c>
      <c r="BD697" s="765">
        <v>284</v>
      </c>
      <c r="BE697" s="767">
        <v>0.310422842742058</v>
      </c>
      <c r="BF697" s="768">
        <v>333.5</v>
      </c>
      <c r="BG697" s="765">
        <v>436</v>
      </c>
      <c r="BH697" s="765">
        <v>524</v>
      </c>
      <c r="BI697" s="765">
        <v>16900</v>
      </c>
      <c r="BJ697" s="765">
        <v>11.6</v>
      </c>
      <c r="BK697" s="765">
        <v>220</v>
      </c>
      <c r="BL697" s="771">
        <v>556</v>
      </c>
    </row>
    <row r="698" spans="35:64" x14ac:dyDescent="0.3">
      <c r="AI698" s="763" t="s">
        <v>1211</v>
      </c>
      <c r="AJ698" s="764">
        <v>4980</v>
      </c>
      <c r="AK698" s="765">
        <v>353</v>
      </c>
      <c r="AL698" s="765">
        <v>6.5</v>
      </c>
      <c r="AM698" s="765">
        <v>128</v>
      </c>
      <c r="AN698" s="765">
        <v>10.7</v>
      </c>
      <c r="AO698" s="773" t="s">
        <v>1212</v>
      </c>
      <c r="AP698" s="773">
        <v>30</v>
      </c>
      <c r="AQ698" s="769">
        <v>19</v>
      </c>
      <c r="AR698" s="770">
        <v>14</v>
      </c>
      <c r="AS698" s="766">
        <v>30</v>
      </c>
      <c r="AT698" s="765">
        <v>45</v>
      </c>
      <c r="AU698" s="767">
        <v>8.7200000000000006</v>
      </c>
      <c r="AV698" s="767">
        <v>48.2</v>
      </c>
      <c r="AW698" s="765">
        <v>122</v>
      </c>
      <c r="AX698" s="765">
        <v>691</v>
      </c>
      <c r="AY698" s="765">
        <v>149</v>
      </c>
      <c r="AZ698" s="765">
        <v>1010</v>
      </c>
      <c r="BA698" s="765">
        <v>11.1</v>
      </c>
      <c r="BB698" s="765">
        <v>129</v>
      </c>
      <c r="BC698" s="765">
        <v>39.299999999999997</v>
      </c>
      <c r="BD698" s="765">
        <v>200</v>
      </c>
      <c r="BE698" s="767">
        <v>0.25995101745847038</v>
      </c>
      <c r="BF698" s="768">
        <v>344.9</v>
      </c>
      <c r="BG698" s="765">
        <v>334</v>
      </c>
      <c r="BH698" s="765">
        <v>331</v>
      </c>
      <c r="BI698" s="765">
        <v>14800</v>
      </c>
      <c r="BJ698" s="765">
        <v>8.35</v>
      </c>
      <c r="BK698" s="765">
        <v>185</v>
      </c>
      <c r="BL698" s="771">
        <v>497</v>
      </c>
    </row>
    <row r="699" spans="35:64" x14ac:dyDescent="0.3">
      <c r="AI699" s="763" t="s">
        <v>1213</v>
      </c>
      <c r="AJ699" s="764">
        <v>4170</v>
      </c>
      <c r="AK699" s="765">
        <v>349</v>
      </c>
      <c r="AL699" s="765">
        <v>5.8</v>
      </c>
      <c r="AM699" s="765">
        <v>127</v>
      </c>
      <c r="AN699" s="765">
        <v>8.5</v>
      </c>
      <c r="AO699" s="767" t="s">
        <v>1214</v>
      </c>
      <c r="AP699" s="767">
        <v>28</v>
      </c>
      <c r="AQ699" s="769">
        <v>19</v>
      </c>
      <c r="AR699" s="770">
        <v>14</v>
      </c>
      <c r="AS699" s="766">
        <v>26</v>
      </c>
      <c r="AT699" s="765">
        <v>39</v>
      </c>
      <c r="AU699" s="767">
        <v>5.98</v>
      </c>
      <c r="AV699" s="767">
        <v>51</v>
      </c>
      <c r="AW699" s="765">
        <v>102</v>
      </c>
      <c r="AX699" s="765">
        <v>580</v>
      </c>
      <c r="AY699" s="765">
        <v>148</v>
      </c>
      <c r="AZ699" s="765">
        <v>894</v>
      </c>
      <c r="BA699" s="765">
        <v>9.68</v>
      </c>
      <c r="BB699" s="765">
        <v>113</v>
      </c>
      <c r="BC699" s="765">
        <v>38.799999999999997</v>
      </c>
      <c r="BD699" s="765">
        <v>174</v>
      </c>
      <c r="BE699" s="767">
        <v>0.25687599441609871</v>
      </c>
      <c r="BF699" s="768">
        <v>343.4</v>
      </c>
      <c r="BG699" s="765">
        <v>238</v>
      </c>
      <c r="BH699" s="765">
        <v>285</v>
      </c>
      <c r="BI699" s="765">
        <v>14700</v>
      </c>
      <c r="BJ699" s="765">
        <v>7.28</v>
      </c>
      <c r="BK699" s="765">
        <v>163</v>
      </c>
      <c r="BL699" s="771">
        <v>440</v>
      </c>
    </row>
    <row r="700" spans="35:64" x14ac:dyDescent="0.3">
      <c r="AI700" s="763" t="s">
        <v>1215</v>
      </c>
      <c r="AJ700" s="764">
        <v>63800</v>
      </c>
      <c r="AK700" s="765">
        <v>427</v>
      </c>
      <c r="AL700" s="765">
        <v>45.1</v>
      </c>
      <c r="AM700" s="765">
        <v>340</v>
      </c>
      <c r="AN700" s="765">
        <v>75.099999999999994</v>
      </c>
      <c r="AO700" s="767" t="s">
        <v>1216</v>
      </c>
      <c r="AP700" s="767">
        <v>27</v>
      </c>
      <c r="AQ700" s="769">
        <v>19</v>
      </c>
      <c r="AR700" s="770">
        <v>14</v>
      </c>
      <c r="AS700" s="766">
        <v>22</v>
      </c>
      <c r="AT700" s="765">
        <v>33</v>
      </c>
      <c r="AU700" s="767">
        <v>7.47</v>
      </c>
      <c r="AV700" s="767">
        <v>57.2</v>
      </c>
      <c r="AW700" s="765">
        <v>82.7</v>
      </c>
      <c r="AX700" s="765">
        <v>474</v>
      </c>
      <c r="AY700" s="765">
        <v>146</v>
      </c>
      <c r="AZ700" s="765">
        <v>779</v>
      </c>
      <c r="BA700" s="765">
        <v>8.18</v>
      </c>
      <c r="BB700" s="765">
        <v>95.7</v>
      </c>
      <c r="BC700" s="765">
        <v>37.799999999999997</v>
      </c>
      <c r="BD700" s="765">
        <v>148</v>
      </c>
      <c r="BE700" s="767">
        <v>0.25295820886581177</v>
      </c>
      <c r="BF700" s="768">
        <v>342.2</v>
      </c>
      <c r="BG700" s="765">
        <v>160</v>
      </c>
      <c r="BH700" s="765">
        <v>239</v>
      </c>
      <c r="BI700" s="765">
        <v>14600</v>
      </c>
      <c r="BJ700" s="765">
        <v>6.13</v>
      </c>
      <c r="BK700" s="765">
        <v>138</v>
      </c>
      <c r="BL700" s="771">
        <v>382</v>
      </c>
    </row>
    <row r="701" spans="35:64" x14ac:dyDescent="0.3">
      <c r="AI701" s="763" t="s">
        <v>1217</v>
      </c>
      <c r="AJ701" s="764">
        <v>57800</v>
      </c>
      <c r="AK701" s="765">
        <v>415</v>
      </c>
      <c r="AL701" s="765">
        <v>41.3</v>
      </c>
      <c r="AM701" s="765">
        <v>336</v>
      </c>
      <c r="AN701" s="765">
        <v>68.7</v>
      </c>
      <c r="AO701" s="767" t="s">
        <v>1218</v>
      </c>
      <c r="AP701" s="767">
        <v>27</v>
      </c>
      <c r="AQ701" s="769">
        <v>18</v>
      </c>
      <c r="AR701" s="770">
        <v>14</v>
      </c>
      <c r="AS701" s="766">
        <v>336</v>
      </c>
      <c r="AT701" s="765">
        <v>500</v>
      </c>
      <c r="AU701" s="767">
        <v>2.2599999999999998</v>
      </c>
      <c r="AV701" s="767">
        <v>6.14</v>
      </c>
      <c r="AW701" s="765">
        <v>1690</v>
      </c>
      <c r="AX701" s="765">
        <v>7910</v>
      </c>
      <c r="AY701" s="765">
        <v>143</v>
      </c>
      <c r="AZ701" s="765">
        <v>662</v>
      </c>
      <c r="BA701" s="765">
        <v>3.75</v>
      </c>
      <c r="BB701" s="765">
        <v>58.6</v>
      </c>
      <c r="BC701" s="765">
        <v>27.4</v>
      </c>
      <c r="BD701" s="765">
        <v>91.7</v>
      </c>
      <c r="BE701" s="767">
        <v>0.18712938549713221</v>
      </c>
      <c r="BF701" s="768">
        <v>342.3</v>
      </c>
      <c r="BG701" s="765">
        <v>151</v>
      </c>
      <c r="BH701" s="765">
        <v>110</v>
      </c>
      <c r="BI701" s="765">
        <v>11000</v>
      </c>
      <c r="BJ701" s="765">
        <v>3.75</v>
      </c>
      <c r="BK701" s="765">
        <v>111</v>
      </c>
      <c r="BL701" s="771">
        <v>324</v>
      </c>
    </row>
    <row r="702" spans="35:64" x14ac:dyDescent="0.3">
      <c r="AI702" s="763" t="s">
        <v>1219</v>
      </c>
      <c r="AJ702" s="764">
        <v>52900</v>
      </c>
      <c r="AK702" s="765">
        <v>403</v>
      </c>
      <c r="AL702" s="765">
        <v>38.9</v>
      </c>
      <c r="AM702" s="765">
        <v>334</v>
      </c>
      <c r="AN702" s="765">
        <v>62.7</v>
      </c>
      <c r="AO702" s="767" t="s">
        <v>1220</v>
      </c>
      <c r="AP702" s="767">
        <v>25</v>
      </c>
      <c r="AQ702" s="769">
        <v>18</v>
      </c>
      <c r="AR702" s="770">
        <v>14</v>
      </c>
      <c r="AS702" s="766">
        <v>305</v>
      </c>
      <c r="AT702" s="765">
        <v>454</v>
      </c>
      <c r="AU702" s="767">
        <v>2.4500000000000002</v>
      </c>
      <c r="AV702" s="767">
        <v>6.72</v>
      </c>
      <c r="AW702" s="765">
        <v>1480</v>
      </c>
      <c r="AX702" s="765">
        <v>7130</v>
      </c>
      <c r="AY702" s="765">
        <v>141</v>
      </c>
      <c r="AZ702" s="765">
        <v>542</v>
      </c>
      <c r="BA702" s="765">
        <v>2.91</v>
      </c>
      <c r="BB702" s="765">
        <v>45.8</v>
      </c>
      <c r="BC702" s="765">
        <v>26.4</v>
      </c>
      <c r="BD702" s="765">
        <v>71.8</v>
      </c>
      <c r="BE702" s="767">
        <v>0.18177785318938219</v>
      </c>
      <c r="BF702" s="768">
        <v>340.5</v>
      </c>
      <c r="BG702" s="765">
        <v>85.9</v>
      </c>
      <c r="BH702" s="765">
        <v>84.3</v>
      </c>
      <c r="BI702" s="765">
        <v>10800</v>
      </c>
      <c r="BJ702" s="765">
        <v>2.92</v>
      </c>
      <c r="BK702" s="765">
        <v>87.7</v>
      </c>
      <c r="BL702" s="771">
        <v>264</v>
      </c>
    </row>
    <row r="703" spans="35:64" x14ac:dyDescent="0.3">
      <c r="AI703" s="763" t="s">
        <v>1221</v>
      </c>
      <c r="AJ703" s="764">
        <v>47700</v>
      </c>
      <c r="AK703" s="765">
        <v>391</v>
      </c>
      <c r="AL703" s="765">
        <v>35.4</v>
      </c>
      <c r="AM703" s="765">
        <v>330</v>
      </c>
      <c r="AN703" s="765">
        <v>57.2</v>
      </c>
      <c r="AO703" s="767" t="s">
        <v>1222</v>
      </c>
      <c r="AP703" s="767">
        <v>97</v>
      </c>
      <c r="AQ703" s="769">
        <v>43</v>
      </c>
      <c r="AR703" s="770">
        <v>12</v>
      </c>
      <c r="AS703" s="766">
        <v>279</v>
      </c>
      <c r="AT703" s="765">
        <v>415</v>
      </c>
      <c r="AU703" s="767">
        <v>2.66</v>
      </c>
      <c r="AV703" s="767">
        <v>7.14</v>
      </c>
      <c r="AW703" s="765">
        <v>1300</v>
      </c>
      <c r="AX703" s="765">
        <v>6450</v>
      </c>
      <c r="AY703" s="765">
        <v>163</v>
      </c>
      <c r="AZ703" s="765">
        <v>9880</v>
      </c>
      <c r="BA703" s="765">
        <v>494</v>
      </c>
      <c r="BB703" s="765">
        <v>2910</v>
      </c>
      <c r="BC703" s="765">
        <v>88</v>
      </c>
      <c r="BD703" s="765">
        <v>4490</v>
      </c>
      <c r="BE703" s="767">
        <v>0.58954417569966888</v>
      </c>
      <c r="BF703" s="768">
        <v>351.9</v>
      </c>
      <c r="BG703" s="765">
        <v>101000</v>
      </c>
      <c r="BH703" s="765">
        <v>15300</v>
      </c>
      <c r="BI703" s="765">
        <v>29900</v>
      </c>
      <c r="BJ703" s="765">
        <v>191</v>
      </c>
      <c r="BK703" s="765">
        <v>1950</v>
      </c>
      <c r="BL703" s="771">
        <v>4920</v>
      </c>
    </row>
    <row r="704" spans="35:64" x14ac:dyDescent="0.3">
      <c r="AI704" s="763" t="s">
        <v>1223</v>
      </c>
      <c r="AJ704" s="764">
        <v>43700</v>
      </c>
      <c r="AK704" s="765">
        <v>382</v>
      </c>
      <c r="AL704" s="765">
        <v>32.6</v>
      </c>
      <c r="AM704" s="765">
        <v>328</v>
      </c>
      <c r="AN704" s="765">
        <v>52.6</v>
      </c>
      <c r="AO704" s="767" t="s">
        <v>1224</v>
      </c>
      <c r="AP704" s="767">
        <v>91</v>
      </c>
      <c r="AQ704" s="769">
        <v>41</v>
      </c>
      <c r="AR704" s="770">
        <v>12</v>
      </c>
      <c r="AS704" s="766">
        <v>252</v>
      </c>
      <c r="AT704" s="765">
        <v>375</v>
      </c>
      <c r="AU704" s="767">
        <v>2.88</v>
      </c>
      <c r="AV704" s="768">
        <v>7.81</v>
      </c>
      <c r="AW704" s="765">
        <v>1130</v>
      </c>
      <c r="AX704" s="765">
        <v>5770</v>
      </c>
      <c r="AY704" s="765">
        <v>160</v>
      </c>
      <c r="AZ704" s="765">
        <v>8820</v>
      </c>
      <c r="BA704" s="765">
        <v>436</v>
      </c>
      <c r="BB704" s="765">
        <v>2600</v>
      </c>
      <c r="BC704" s="765">
        <v>86.8</v>
      </c>
      <c r="BD704" s="765">
        <v>4000</v>
      </c>
      <c r="BE704" s="767">
        <v>0.5789548298261411</v>
      </c>
      <c r="BF704" s="768">
        <v>346.3</v>
      </c>
      <c r="BG704" s="765">
        <v>77200</v>
      </c>
      <c r="BH704" s="765">
        <v>13100</v>
      </c>
      <c r="BI704" s="765">
        <v>29100</v>
      </c>
      <c r="BJ704" s="765">
        <v>168</v>
      </c>
      <c r="BK704" s="765">
        <v>1750</v>
      </c>
      <c r="BL704" s="771">
        <v>4390</v>
      </c>
    </row>
    <row r="705" spans="35:64" x14ac:dyDescent="0.3">
      <c r="AI705" s="763" t="s">
        <v>1225</v>
      </c>
      <c r="AJ705" s="764">
        <v>39900</v>
      </c>
      <c r="AK705" s="765">
        <v>374</v>
      </c>
      <c r="AL705" s="765">
        <v>30</v>
      </c>
      <c r="AM705" s="765">
        <v>325</v>
      </c>
      <c r="AN705" s="765">
        <v>48.3</v>
      </c>
      <c r="AO705" s="767" t="s">
        <v>1226</v>
      </c>
      <c r="AP705" s="767">
        <v>85</v>
      </c>
      <c r="AQ705" s="769">
        <v>40</v>
      </c>
      <c r="AR705" s="770">
        <v>12</v>
      </c>
      <c r="AS705" s="766">
        <v>230</v>
      </c>
      <c r="AT705" s="765">
        <v>342</v>
      </c>
      <c r="AU705" s="767">
        <v>3.12</v>
      </c>
      <c r="AV705" s="768">
        <v>8.49</v>
      </c>
      <c r="AW705" s="765">
        <v>1010</v>
      </c>
      <c r="AX705" s="765">
        <v>5260</v>
      </c>
      <c r="AY705" s="765">
        <v>157</v>
      </c>
      <c r="AZ705" s="765">
        <v>7900</v>
      </c>
      <c r="BA705" s="765">
        <v>391</v>
      </c>
      <c r="BB705" s="765">
        <v>2340</v>
      </c>
      <c r="BC705" s="765">
        <v>86</v>
      </c>
      <c r="BD705" s="765">
        <v>3610</v>
      </c>
      <c r="BE705" s="767">
        <v>0.57086569124743314</v>
      </c>
      <c r="BF705" s="768">
        <v>340.3</v>
      </c>
      <c r="BG705" s="765">
        <v>59500</v>
      </c>
      <c r="BH705" s="765">
        <v>11300</v>
      </c>
      <c r="BI705" s="765">
        <v>28400</v>
      </c>
      <c r="BJ705" s="765">
        <v>149</v>
      </c>
      <c r="BK705" s="765">
        <v>1570</v>
      </c>
      <c r="BL705" s="771">
        <v>3940</v>
      </c>
    </row>
    <row r="706" spans="35:64" x14ac:dyDescent="0.3">
      <c r="AI706" s="763" t="s">
        <v>1227</v>
      </c>
      <c r="AJ706" s="764">
        <v>36000</v>
      </c>
      <c r="AK706" s="765">
        <v>365</v>
      </c>
      <c r="AL706" s="765">
        <v>26.9</v>
      </c>
      <c r="AM706" s="765">
        <v>322</v>
      </c>
      <c r="AN706" s="765">
        <v>44.1</v>
      </c>
      <c r="AO706" s="767" t="s">
        <v>1228</v>
      </c>
      <c r="AP706" s="767">
        <v>79</v>
      </c>
      <c r="AQ706" s="769">
        <v>38</v>
      </c>
      <c r="AR706" s="770">
        <v>12</v>
      </c>
      <c r="AS706" s="766">
        <v>210</v>
      </c>
      <c r="AT706" s="765">
        <v>313</v>
      </c>
      <c r="AU706" s="767">
        <v>3.36</v>
      </c>
      <c r="AV706" s="768">
        <v>9.25</v>
      </c>
      <c r="AW706" s="765">
        <v>896</v>
      </c>
      <c r="AX706" s="765">
        <v>4790</v>
      </c>
      <c r="AY706" s="765">
        <v>154</v>
      </c>
      <c r="AZ706" s="765">
        <v>7000</v>
      </c>
      <c r="BA706" s="765">
        <v>344</v>
      </c>
      <c r="BB706" s="765">
        <v>2080</v>
      </c>
      <c r="BC706" s="765">
        <v>84.8</v>
      </c>
      <c r="BD706" s="765">
        <v>3210</v>
      </c>
      <c r="BE706" s="767">
        <v>0.56076343645201499</v>
      </c>
      <c r="BF706" s="768">
        <v>333.8</v>
      </c>
      <c r="BG706" s="765">
        <v>44900</v>
      </c>
      <c r="BH706" s="765">
        <v>9570</v>
      </c>
      <c r="BI706" s="765">
        <v>27500</v>
      </c>
      <c r="BJ706" s="765">
        <v>130</v>
      </c>
      <c r="BK706" s="765">
        <v>1410</v>
      </c>
      <c r="BL706" s="771">
        <v>3490</v>
      </c>
    </row>
    <row r="707" spans="35:64" x14ac:dyDescent="0.3">
      <c r="AI707" s="763" t="s">
        <v>1229</v>
      </c>
      <c r="AJ707" s="764">
        <v>32200</v>
      </c>
      <c r="AK707" s="765">
        <v>356</v>
      </c>
      <c r="AL707" s="765">
        <v>24.4</v>
      </c>
      <c r="AM707" s="765">
        <v>319</v>
      </c>
      <c r="AN707" s="765">
        <v>39.6</v>
      </c>
      <c r="AO707" s="767" t="s">
        <v>1230</v>
      </c>
      <c r="AP707" s="767">
        <v>74</v>
      </c>
      <c r="AQ707" s="769">
        <v>37</v>
      </c>
      <c r="AR707" s="770">
        <v>12</v>
      </c>
      <c r="AS707" s="766">
        <v>190</v>
      </c>
      <c r="AT707" s="765">
        <v>283</v>
      </c>
      <c r="AU707" s="767">
        <v>3.65</v>
      </c>
      <c r="AV707" s="768">
        <v>10.3</v>
      </c>
      <c r="AW707" s="765">
        <v>787</v>
      </c>
      <c r="AX707" s="765">
        <v>4310</v>
      </c>
      <c r="AY707" s="765">
        <v>152</v>
      </c>
      <c r="AZ707" s="765">
        <v>6330</v>
      </c>
      <c r="BA707" s="765">
        <v>310</v>
      </c>
      <c r="BB707" s="765">
        <v>1890</v>
      </c>
      <c r="BC707" s="765">
        <v>84.2</v>
      </c>
      <c r="BD707" s="765">
        <v>2910</v>
      </c>
      <c r="BE707" s="767">
        <v>0.55421155234529118</v>
      </c>
      <c r="BF707" s="768">
        <v>329.4</v>
      </c>
      <c r="BG707" s="765">
        <v>34900</v>
      </c>
      <c r="BH707" s="765">
        <v>8420</v>
      </c>
      <c r="BI707" s="765">
        <v>27000</v>
      </c>
      <c r="BJ707" s="765">
        <v>117</v>
      </c>
      <c r="BK707" s="765">
        <v>1280</v>
      </c>
      <c r="BL707" s="771">
        <v>3150</v>
      </c>
    </row>
    <row r="708" spans="35:64" x14ac:dyDescent="0.3">
      <c r="AI708" s="763" t="s">
        <v>1231</v>
      </c>
      <c r="AJ708" s="764">
        <v>28900</v>
      </c>
      <c r="AK708" s="765">
        <v>348</v>
      </c>
      <c r="AL708" s="765">
        <v>22.1</v>
      </c>
      <c r="AM708" s="765">
        <v>317</v>
      </c>
      <c r="AN708" s="765">
        <v>35.6</v>
      </c>
      <c r="AO708" s="767" t="s">
        <v>1232</v>
      </c>
      <c r="AP708" s="767">
        <v>70</v>
      </c>
      <c r="AQ708" s="769">
        <v>35</v>
      </c>
      <c r="AR708" s="770">
        <v>12</v>
      </c>
      <c r="AS708" s="766">
        <v>170</v>
      </c>
      <c r="AT708" s="765">
        <v>253</v>
      </c>
      <c r="AU708" s="767">
        <v>4.03</v>
      </c>
      <c r="AV708" s="768">
        <v>11.3</v>
      </c>
      <c r="AW708" s="765">
        <v>682</v>
      </c>
      <c r="AX708" s="765">
        <v>3830</v>
      </c>
      <c r="AY708" s="765">
        <v>150</v>
      </c>
      <c r="AZ708" s="765">
        <v>5720</v>
      </c>
      <c r="BA708" s="765">
        <v>277</v>
      </c>
      <c r="BB708" s="765">
        <v>1700</v>
      </c>
      <c r="BC708" s="765">
        <v>83.3</v>
      </c>
      <c r="BD708" s="765">
        <v>2620</v>
      </c>
      <c r="BE708" s="767">
        <v>0.5457880471676323</v>
      </c>
      <c r="BF708" s="768">
        <v>325.7</v>
      </c>
      <c r="BG708" s="765">
        <v>27000</v>
      </c>
      <c r="BH708" s="765">
        <v>7350</v>
      </c>
      <c r="BI708" s="765">
        <v>26500</v>
      </c>
      <c r="BJ708" s="765">
        <v>104</v>
      </c>
      <c r="BK708" s="765">
        <v>1160</v>
      </c>
      <c r="BL708" s="771">
        <v>2840</v>
      </c>
    </row>
    <row r="709" spans="35:64" x14ac:dyDescent="0.3">
      <c r="AI709" s="763" t="s">
        <v>1233</v>
      </c>
      <c r="AJ709" s="764">
        <v>25800</v>
      </c>
      <c r="AK709" s="765">
        <v>341</v>
      </c>
      <c r="AL709" s="765">
        <v>20.100000000000001</v>
      </c>
      <c r="AM709" s="765">
        <v>315</v>
      </c>
      <c r="AN709" s="765">
        <v>31.8</v>
      </c>
      <c r="AO709" s="767" t="s">
        <v>1234</v>
      </c>
      <c r="AP709" s="767">
        <v>66</v>
      </c>
      <c r="AQ709" s="769">
        <v>34</v>
      </c>
      <c r="AR709" s="770">
        <v>12</v>
      </c>
      <c r="AS709" s="766">
        <v>152</v>
      </c>
      <c r="AT709" s="768">
        <v>226</v>
      </c>
      <c r="AU709" s="767">
        <v>4.45</v>
      </c>
      <c r="AV709" s="768">
        <v>12.5</v>
      </c>
      <c r="AW709" s="765">
        <v>596</v>
      </c>
      <c r="AX709" s="765">
        <v>3420</v>
      </c>
      <c r="AY709" s="765">
        <v>148</v>
      </c>
      <c r="AZ709" s="765">
        <v>5100</v>
      </c>
      <c r="BA709" s="765">
        <v>246</v>
      </c>
      <c r="BB709" s="765">
        <v>1530</v>
      </c>
      <c r="BC709" s="765">
        <v>82.6</v>
      </c>
      <c r="BD709" s="765">
        <v>2340</v>
      </c>
      <c r="BE709" s="767">
        <v>0.53807903264544898</v>
      </c>
      <c r="BF709" s="768">
        <v>320.89999999999998</v>
      </c>
      <c r="BG709" s="765">
        <v>20400</v>
      </c>
      <c r="BH709" s="765">
        <v>6330</v>
      </c>
      <c r="BI709" s="765">
        <v>25800</v>
      </c>
      <c r="BJ709" s="765">
        <v>91.7</v>
      </c>
      <c r="BK709" s="765">
        <v>1040</v>
      </c>
      <c r="BL709" s="771">
        <v>2540</v>
      </c>
    </row>
    <row r="710" spans="35:64" x14ac:dyDescent="0.3">
      <c r="AI710" s="763" t="s">
        <v>1235</v>
      </c>
      <c r="AJ710" s="764">
        <v>22800</v>
      </c>
      <c r="AK710" s="765">
        <v>333</v>
      </c>
      <c r="AL710" s="765">
        <v>18</v>
      </c>
      <c r="AM710" s="765">
        <v>313</v>
      </c>
      <c r="AN710" s="765">
        <v>28.1</v>
      </c>
      <c r="AO710" s="767" t="s">
        <v>1236</v>
      </c>
      <c r="AP710" s="767">
        <v>61</v>
      </c>
      <c r="AQ710" s="769">
        <v>33</v>
      </c>
      <c r="AR710" s="770">
        <v>12</v>
      </c>
      <c r="AS710" s="766">
        <v>136</v>
      </c>
      <c r="AT710" s="768">
        <v>202</v>
      </c>
      <c r="AU710" s="767">
        <v>4.95</v>
      </c>
      <c r="AV710" s="768">
        <v>13.8</v>
      </c>
      <c r="AW710" s="765">
        <v>520</v>
      </c>
      <c r="AX710" s="765">
        <v>3050</v>
      </c>
      <c r="AY710" s="765">
        <v>146</v>
      </c>
      <c r="AZ710" s="765">
        <v>4490</v>
      </c>
      <c r="BA710" s="765">
        <v>215</v>
      </c>
      <c r="BB710" s="765">
        <v>1350</v>
      </c>
      <c r="BC710" s="765">
        <v>81.599999999999994</v>
      </c>
      <c r="BD710" s="765">
        <v>2060</v>
      </c>
      <c r="BE710" s="767">
        <v>0.52966807766549706</v>
      </c>
      <c r="BF710" s="768">
        <v>316.39999999999998</v>
      </c>
      <c r="BG710" s="765">
        <v>14800</v>
      </c>
      <c r="BH710" s="765">
        <v>5370</v>
      </c>
      <c r="BI710" s="765">
        <v>25200</v>
      </c>
      <c r="BJ710" s="765">
        <v>79.7</v>
      </c>
      <c r="BK710" s="765">
        <v>923</v>
      </c>
      <c r="BL710" s="771">
        <v>2230</v>
      </c>
    </row>
    <row r="711" spans="35:64" x14ac:dyDescent="0.3">
      <c r="AI711" s="763" t="s">
        <v>1237</v>
      </c>
      <c r="AJ711" s="764">
        <v>20100</v>
      </c>
      <c r="AK711" s="765">
        <v>327</v>
      </c>
      <c r="AL711" s="765">
        <v>15.5</v>
      </c>
      <c r="AM711" s="765">
        <v>310</v>
      </c>
      <c r="AN711" s="765">
        <v>25.1</v>
      </c>
      <c r="AO711" s="767" t="s">
        <v>1238</v>
      </c>
      <c r="AP711" s="767">
        <v>57</v>
      </c>
      <c r="AQ711" s="769">
        <v>31</v>
      </c>
      <c r="AR711" s="770">
        <v>12</v>
      </c>
      <c r="AS711" s="766">
        <v>120</v>
      </c>
      <c r="AT711" s="768">
        <v>179</v>
      </c>
      <c r="AU711" s="767">
        <v>5.57</v>
      </c>
      <c r="AV711" s="768">
        <v>15.4</v>
      </c>
      <c r="AW711" s="765">
        <v>445</v>
      </c>
      <c r="AX711" s="765">
        <v>2680</v>
      </c>
      <c r="AY711" s="765">
        <v>144</v>
      </c>
      <c r="AZ711" s="765">
        <v>3980</v>
      </c>
      <c r="BA711" s="765">
        <v>189</v>
      </c>
      <c r="BB711" s="765">
        <v>1190</v>
      </c>
      <c r="BC711" s="765">
        <v>81</v>
      </c>
      <c r="BD711" s="765">
        <v>1830</v>
      </c>
      <c r="BE711" s="767">
        <v>0.52271250732505981</v>
      </c>
      <c r="BF711" s="768">
        <v>312.39999999999998</v>
      </c>
      <c r="BG711" s="765">
        <v>10800</v>
      </c>
      <c r="BH711" s="765">
        <v>4620</v>
      </c>
      <c r="BI711" s="765">
        <v>24800</v>
      </c>
      <c r="BJ711" s="765">
        <v>69.8</v>
      </c>
      <c r="BK711" s="765">
        <v>820</v>
      </c>
      <c r="BL711" s="771">
        <v>1970</v>
      </c>
    </row>
    <row r="712" spans="35:64" x14ac:dyDescent="0.3">
      <c r="AI712" s="763" t="s">
        <v>1239</v>
      </c>
      <c r="AJ712" s="764">
        <v>18200</v>
      </c>
      <c r="AK712" s="765">
        <v>323</v>
      </c>
      <c r="AL712" s="765">
        <v>14</v>
      </c>
      <c r="AM712" s="765">
        <v>309</v>
      </c>
      <c r="AN712" s="765">
        <v>22.9</v>
      </c>
      <c r="AO712" s="767" t="s">
        <v>1240</v>
      </c>
      <c r="AP712" s="767">
        <v>54</v>
      </c>
      <c r="AQ712" s="769">
        <v>30</v>
      </c>
      <c r="AR712" s="770">
        <v>12</v>
      </c>
      <c r="AS712" s="766">
        <v>106</v>
      </c>
      <c r="AT712" s="768">
        <v>158</v>
      </c>
      <c r="AU712" s="767">
        <v>6.18</v>
      </c>
      <c r="AV712" s="768">
        <v>17.899999999999999</v>
      </c>
      <c r="AW712" s="765">
        <v>386</v>
      </c>
      <c r="AX712" s="765">
        <v>2360</v>
      </c>
      <c r="AY712" s="765">
        <v>142</v>
      </c>
      <c r="AZ712" s="765">
        <v>3510</v>
      </c>
      <c r="BA712" s="765">
        <v>166</v>
      </c>
      <c r="BB712" s="765">
        <v>1050</v>
      </c>
      <c r="BC712" s="765">
        <v>80.2</v>
      </c>
      <c r="BD712" s="765">
        <v>1610</v>
      </c>
      <c r="BE712" s="767">
        <v>0.51558574193274231</v>
      </c>
      <c r="BF712" s="768">
        <v>309.2</v>
      </c>
      <c r="BG712" s="765">
        <v>7740</v>
      </c>
      <c r="BH712" s="765">
        <v>3960</v>
      </c>
      <c r="BI712" s="765">
        <v>24300</v>
      </c>
      <c r="BJ712" s="765">
        <v>61</v>
      </c>
      <c r="BK712" s="765">
        <v>725</v>
      </c>
      <c r="BL712" s="771">
        <v>1740</v>
      </c>
    </row>
    <row r="713" spans="35:64" x14ac:dyDescent="0.3">
      <c r="AI713" s="763" t="s">
        <v>1241</v>
      </c>
      <c r="AJ713" s="764">
        <v>16500</v>
      </c>
      <c r="AK713" s="765">
        <v>318</v>
      </c>
      <c r="AL713" s="765">
        <v>13.1</v>
      </c>
      <c r="AM713" s="765">
        <v>308</v>
      </c>
      <c r="AN713" s="765">
        <v>20.6</v>
      </c>
      <c r="AO713" s="767" t="s">
        <v>1242</v>
      </c>
      <c r="AP713" s="767">
        <v>50</v>
      </c>
      <c r="AQ713" s="769">
        <v>29</v>
      </c>
      <c r="AR713" s="770">
        <v>12</v>
      </c>
      <c r="AS713" s="766">
        <v>96</v>
      </c>
      <c r="AT713" s="768">
        <v>143</v>
      </c>
      <c r="AU713" s="767">
        <v>6.75</v>
      </c>
      <c r="AV713" s="768">
        <v>19.8</v>
      </c>
      <c r="AW713" s="765">
        <v>348</v>
      </c>
      <c r="AX713" s="765">
        <v>2150</v>
      </c>
      <c r="AY713" s="765">
        <v>140</v>
      </c>
      <c r="AZ713" s="765">
        <v>3050</v>
      </c>
      <c r="BA713" s="765">
        <v>144</v>
      </c>
      <c r="BB713" s="765">
        <v>919</v>
      </c>
      <c r="BC713" s="765">
        <v>79.5</v>
      </c>
      <c r="BD713" s="765">
        <v>1400</v>
      </c>
      <c r="BE713" s="767">
        <v>0.50869778043872138</v>
      </c>
      <c r="BF713" s="768">
        <v>304.89999999999998</v>
      </c>
      <c r="BG713" s="765">
        <v>5380</v>
      </c>
      <c r="BH713" s="765">
        <v>3340</v>
      </c>
      <c r="BI713" s="765">
        <v>23900</v>
      </c>
      <c r="BJ713" s="765">
        <v>52.5</v>
      </c>
      <c r="BK713" s="765">
        <v>632</v>
      </c>
      <c r="BL713" s="771">
        <v>1510</v>
      </c>
    </row>
    <row r="714" spans="35:64" x14ac:dyDescent="0.3">
      <c r="AI714" s="763" t="s">
        <v>1243</v>
      </c>
      <c r="AJ714" s="764">
        <v>15000</v>
      </c>
      <c r="AK714" s="765">
        <v>314</v>
      </c>
      <c r="AL714" s="765">
        <v>11.9</v>
      </c>
      <c r="AM714" s="765">
        <v>307</v>
      </c>
      <c r="AN714" s="765">
        <v>18.7</v>
      </c>
      <c r="AO714" s="767" t="s">
        <v>1244</v>
      </c>
      <c r="AP714" s="767">
        <v>47</v>
      </c>
      <c r="AQ714" s="772">
        <v>28</v>
      </c>
      <c r="AR714" s="770">
        <v>12</v>
      </c>
      <c r="AS714" s="766">
        <v>87</v>
      </c>
      <c r="AT714" s="768">
        <v>129</v>
      </c>
      <c r="AU714" s="767">
        <v>7.48</v>
      </c>
      <c r="AV714" s="768">
        <v>21.1</v>
      </c>
      <c r="AW714" s="765">
        <v>308</v>
      </c>
      <c r="AX714" s="765">
        <v>1940</v>
      </c>
      <c r="AY714" s="765">
        <v>139</v>
      </c>
      <c r="AZ714" s="765">
        <v>2670</v>
      </c>
      <c r="BA714" s="765">
        <v>125</v>
      </c>
      <c r="BB714" s="765">
        <v>805</v>
      </c>
      <c r="BC714" s="765">
        <v>78.900000000000006</v>
      </c>
      <c r="BD714" s="765">
        <v>1220</v>
      </c>
      <c r="BE714" s="767">
        <v>0.50245952884946965</v>
      </c>
      <c r="BF714" s="768">
        <v>301.89999999999998</v>
      </c>
      <c r="BG714" s="765">
        <v>3780</v>
      </c>
      <c r="BH714" s="765">
        <v>2840</v>
      </c>
      <c r="BI714" s="765">
        <v>23400</v>
      </c>
      <c r="BJ714" s="765">
        <v>45.5</v>
      </c>
      <c r="BK714" s="765">
        <v>558</v>
      </c>
      <c r="BL714" s="771">
        <v>1320</v>
      </c>
    </row>
    <row r="715" spans="35:64" x14ac:dyDescent="0.3">
      <c r="AI715" s="763" t="s">
        <v>1245</v>
      </c>
      <c r="AJ715" s="764">
        <v>13600</v>
      </c>
      <c r="AK715" s="765">
        <v>311</v>
      </c>
      <c r="AL715" s="765">
        <v>10.9</v>
      </c>
      <c r="AM715" s="765">
        <v>306</v>
      </c>
      <c r="AN715" s="765">
        <v>17</v>
      </c>
      <c r="AO715" s="767" t="s">
        <v>1246</v>
      </c>
      <c r="AP715" s="767">
        <v>45</v>
      </c>
      <c r="AQ715" s="769">
        <v>27</v>
      </c>
      <c r="AR715" s="770">
        <v>12</v>
      </c>
      <c r="AS715" s="766">
        <v>79</v>
      </c>
      <c r="AT715" s="768">
        <v>118</v>
      </c>
      <c r="AU715" s="767">
        <v>8.2100000000000009</v>
      </c>
      <c r="AV715" s="768">
        <v>23.2</v>
      </c>
      <c r="AW715" s="765">
        <v>275</v>
      </c>
      <c r="AX715" s="765">
        <v>1750</v>
      </c>
      <c r="AY715" s="765">
        <v>138</v>
      </c>
      <c r="AZ715" s="765">
        <v>2420</v>
      </c>
      <c r="BA715" s="765">
        <v>113</v>
      </c>
      <c r="BB715" s="765">
        <v>729</v>
      </c>
      <c r="BC715" s="765">
        <v>78.599999999999994</v>
      </c>
      <c r="BD715" s="765">
        <v>1110</v>
      </c>
      <c r="BE715" s="767">
        <v>0.49918187739577302</v>
      </c>
      <c r="BF715" s="768">
        <v>300.10000000000002</v>
      </c>
      <c r="BG715" s="765">
        <v>2870</v>
      </c>
      <c r="BH715" s="765">
        <v>2540</v>
      </c>
      <c r="BI715" s="765">
        <v>23200</v>
      </c>
      <c r="BJ715" s="765">
        <v>41</v>
      </c>
      <c r="BK715" s="765">
        <v>507</v>
      </c>
      <c r="BL715" s="771">
        <v>1200</v>
      </c>
    </row>
    <row r="716" spans="35:64" x14ac:dyDescent="0.3">
      <c r="AI716" s="763" t="s">
        <v>1247</v>
      </c>
      <c r="AJ716" s="764">
        <v>12300</v>
      </c>
      <c r="AK716" s="765">
        <v>308</v>
      </c>
      <c r="AL716" s="765">
        <v>9.9</v>
      </c>
      <c r="AM716" s="765">
        <v>305</v>
      </c>
      <c r="AN716" s="765">
        <v>15.4</v>
      </c>
      <c r="AO716" s="767" t="s">
        <v>1248</v>
      </c>
      <c r="AP716" s="767">
        <v>42</v>
      </c>
      <c r="AQ716" s="769">
        <v>27</v>
      </c>
      <c r="AR716" s="770">
        <v>12</v>
      </c>
      <c r="AS716" s="766">
        <v>72</v>
      </c>
      <c r="AT716" s="768">
        <v>107</v>
      </c>
      <c r="AU716" s="767">
        <v>9</v>
      </c>
      <c r="AV716" s="768">
        <v>25.4</v>
      </c>
      <c r="AW716" s="765">
        <v>248</v>
      </c>
      <c r="AX716" s="765">
        <v>1590</v>
      </c>
      <c r="AY716" s="765">
        <v>137</v>
      </c>
      <c r="AZ716" s="765">
        <v>2160</v>
      </c>
      <c r="BA716" s="765">
        <v>100</v>
      </c>
      <c r="BB716" s="765">
        <v>652</v>
      </c>
      <c r="BC716" s="765">
        <v>78</v>
      </c>
      <c r="BD716" s="765">
        <v>991</v>
      </c>
      <c r="BE716" s="767">
        <v>0.49281892681449713</v>
      </c>
      <c r="BF716" s="768">
        <v>297.39999999999998</v>
      </c>
      <c r="BG716" s="765">
        <v>2130</v>
      </c>
      <c r="BH716" s="765">
        <v>2220</v>
      </c>
      <c r="BI716" s="765">
        <v>22900</v>
      </c>
      <c r="BJ716" s="765">
        <v>36.299999999999997</v>
      </c>
      <c r="BK716" s="765">
        <v>452</v>
      </c>
      <c r="BL716" s="771">
        <v>1070</v>
      </c>
    </row>
    <row r="717" spans="35:64" x14ac:dyDescent="0.3">
      <c r="AI717" s="763" t="s">
        <v>1249</v>
      </c>
      <c r="AJ717" s="764">
        <v>11000</v>
      </c>
      <c r="AK717" s="765">
        <v>310</v>
      </c>
      <c r="AL717" s="765">
        <v>9.1</v>
      </c>
      <c r="AM717" s="765">
        <v>254</v>
      </c>
      <c r="AN717" s="765">
        <v>16.3</v>
      </c>
      <c r="AO717" s="767" t="s">
        <v>1250</v>
      </c>
      <c r="AP717" s="767">
        <v>41</v>
      </c>
      <c r="AQ717" s="769">
        <v>26</v>
      </c>
      <c r="AR717" s="770">
        <v>12</v>
      </c>
      <c r="AS717" s="766">
        <v>65</v>
      </c>
      <c r="AT717" s="768">
        <v>97</v>
      </c>
      <c r="AU717" s="767">
        <v>9.9</v>
      </c>
      <c r="AV717" s="768">
        <v>28</v>
      </c>
      <c r="AW717" s="765">
        <v>222</v>
      </c>
      <c r="AX717" s="765">
        <v>1440</v>
      </c>
      <c r="AY717" s="765">
        <v>136</v>
      </c>
      <c r="AZ717" s="765">
        <v>1950</v>
      </c>
      <c r="BA717" s="765">
        <v>90.2</v>
      </c>
      <c r="BB717" s="765">
        <v>588</v>
      </c>
      <c r="BC717" s="765">
        <v>77.599999999999994</v>
      </c>
      <c r="BD717" s="765">
        <v>893</v>
      </c>
      <c r="BE717" s="767">
        <v>0.49079391160818248</v>
      </c>
      <c r="BF717" s="768">
        <v>295.3</v>
      </c>
      <c r="BG717" s="765">
        <v>1600</v>
      </c>
      <c r="BH717" s="765">
        <v>1970</v>
      </c>
      <c r="BI717" s="765">
        <v>22700</v>
      </c>
      <c r="BJ717" s="765">
        <v>32.5</v>
      </c>
      <c r="BK717" s="765">
        <v>407</v>
      </c>
      <c r="BL717" s="771">
        <v>961</v>
      </c>
    </row>
    <row r="718" spans="35:64" x14ac:dyDescent="0.3">
      <c r="AI718" s="763" t="s">
        <v>1251</v>
      </c>
      <c r="AJ718" s="764">
        <v>10100</v>
      </c>
      <c r="AK718" s="765">
        <v>306</v>
      </c>
      <c r="AL718" s="765">
        <v>8.8000000000000007</v>
      </c>
      <c r="AM718" s="765">
        <v>254</v>
      </c>
      <c r="AN718" s="765">
        <v>14.6</v>
      </c>
      <c r="AO718" s="767" t="s">
        <v>1252</v>
      </c>
      <c r="AP718" s="767">
        <v>39</v>
      </c>
      <c r="AQ718" s="769">
        <v>26</v>
      </c>
      <c r="AR718" s="770">
        <v>12</v>
      </c>
      <c r="AS718" s="766">
        <v>58</v>
      </c>
      <c r="AT718" s="768">
        <v>86</v>
      </c>
      <c r="AU718" s="767">
        <v>7.79</v>
      </c>
      <c r="AV718" s="768">
        <v>30.5</v>
      </c>
      <c r="AW718" s="765">
        <v>199</v>
      </c>
      <c r="AX718" s="765">
        <v>1280</v>
      </c>
      <c r="AY718" s="765">
        <v>135</v>
      </c>
      <c r="AZ718" s="765">
        <v>1770</v>
      </c>
      <c r="BA718" s="765">
        <v>81.2</v>
      </c>
      <c r="BB718" s="765">
        <v>531</v>
      </c>
      <c r="BC718" s="765">
        <v>77.2</v>
      </c>
      <c r="BD718" s="765">
        <v>806</v>
      </c>
      <c r="BE718" s="767">
        <v>0.48760551847730632</v>
      </c>
      <c r="BF718" s="768">
        <v>294</v>
      </c>
      <c r="BG718" s="765">
        <v>1220</v>
      </c>
      <c r="BH718" s="765">
        <v>1760</v>
      </c>
      <c r="BI718" s="765">
        <v>22500</v>
      </c>
      <c r="BJ718" s="765">
        <v>29.2</v>
      </c>
      <c r="BK718" s="765">
        <v>369</v>
      </c>
      <c r="BL718" s="771">
        <v>869</v>
      </c>
    </row>
    <row r="719" spans="35:64" x14ac:dyDescent="0.3">
      <c r="AI719" s="763" t="s">
        <v>1253</v>
      </c>
      <c r="AJ719" s="764">
        <v>9430</v>
      </c>
      <c r="AK719" s="765">
        <v>310</v>
      </c>
      <c r="AL719" s="765">
        <v>9.4</v>
      </c>
      <c r="AM719" s="765">
        <v>205</v>
      </c>
      <c r="AN719" s="765">
        <v>16.3</v>
      </c>
      <c r="AO719" s="767" t="s">
        <v>1254</v>
      </c>
      <c r="AP719" s="767">
        <v>37</v>
      </c>
      <c r="AQ719" s="769">
        <v>25</v>
      </c>
      <c r="AR719" s="770">
        <v>12</v>
      </c>
      <c r="AS719" s="766">
        <v>53</v>
      </c>
      <c r="AT719" s="768">
        <v>79</v>
      </c>
      <c r="AU719" s="767">
        <v>8.6999999999999993</v>
      </c>
      <c r="AV719" s="768">
        <v>31.5</v>
      </c>
      <c r="AW719" s="765">
        <v>177</v>
      </c>
      <c r="AX719" s="765">
        <v>1160</v>
      </c>
      <c r="AY719" s="765">
        <v>134</v>
      </c>
      <c r="AZ719" s="765">
        <v>1590</v>
      </c>
      <c r="BA719" s="765">
        <v>72.900000000000006</v>
      </c>
      <c r="BB719" s="765">
        <v>478</v>
      </c>
      <c r="BC719" s="765">
        <v>76.900000000000006</v>
      </c>
      <c r="BD719" s="765">
        <v>725</v>
      </c>
      <c r="BE719" s="767">
        <v>0.48392915281055338</v>
      </c>
      <c r="BF719" s="768">
        <v>292.60000000000002</v>
      </c>
      <c r="BG719" s="765">
        <v>912</v>
      </c>
      <c r="BH719" s="765">
        <v>1560</v>
      </c>
      <c r="BI719" s="765">
        <v>22300</v>
      </c>
      <c r="BJ719" s="765">
        <v>26.2</v>
      </c>
      <c r="BK719" s="765">
        <v>332</v>
      </c>
      <c r="BL719" s="771">
        <v>782</v>
      </c>
    </row>
    <row r="720" spans="35:64" x14ac:dyDescent="0.3">
      <c r="AI720" s="763" t="s">
        <v>1255</v>
      </c>
      <c r="AJ720" s="764">
        <v>8450</v>
      </c>
      <c r="AK720" s="765">
        <v>306</v>
      </c>
      <c r="AL720" s="765">
        <v>8.5</v>
      </c>
      <c r="AM720" s="765">
        <v>204</v>
      </c>
      <c r="AN720" s="765">
        <v>14.6</v>
      </c>
      <c r="AO720" s="767" t="s">
        <v>1256</v>
      </c>
      <c r="AP720" s="767">
        <v>36</v>
      </c>
      <c r="AQ720" s="770">
        <v>23</v>
      </c>
      <c r="AR720" s="770">
        <v>12</v>
      </c>
      <c r="AS720" s="766">
        <v>50</v>
      </c>
      <c r="AT720" s="768">
        <v>74</v>
      </c>
      <c r="AU720" s="767">
        <v>6.29</v>
      </c>
      <c r="AV720" s="768">
        <v>29.5</v>
      </c>
      <c r="AW720" s="765">
        <v>164</v>
      </c>
      <c r="AX720" s="765">
        <v>1060</v>
      </c>
      <c r="AY720" s="765">
        <v>134</v>
      </c>
      <c r="AZ720" s="765">
        <v>1420</v>
      </c>
      <c r="BA720" s="765">
        <v>44.5</v>
      </c>
      <c r="BB720" s="765">
        <v>351</v>
      </c>
      <c r="BC720" s="765">
        <v>63.6</v>
      </c>
      <c r="BD720" s="765">
        <v>533</v>
      </c>
      <c r="BE720" s="767">
        <v>0.4019442912600325</v>
      </c>
      <c r="BF720" s="768">
        <v>293.7</v>
      </c>
      <c r="BG720" s="765">
        <v>877</v>
      </c>
      <c r="BH720" s="765">
        <v>961</v>
      </c>
      <c r="BI720" s="765">
        <v>18600</v>
      </c>
      <c r="BJ720" s="765">
        <v>19.3</v>
      </c>
      <c r="BK720" s="765">
        <v>293</v>
      </c>
      <c r="BL720" s="771">
        <v>696</v>
      </c>
    </row>
    <row r="721" spans="35:64" x14ac:dyDescent="0.3">
      <c r="AI721" s="763" t="s">
        <v>1257</v>
      </c>
      <c r="AJ721" s="764">
        <v>7530</v>
      </c>
      <c r="AK721" s="765">
        <v>303</v>
      </c>
      <c r="AL721" s="765">
        <v>7.5</v>
      </c>
      <c r="AM721" s="765">
        <v>203</v>
      </c>
      <c r="AN721" s="765">
        <v>13.1</v>
      </c>
      <c r="AO721" s="773" t="s">
        <v>1258</v>
      </c>
      <c r="AP721" s="773">
        <v>34</v>
      </c>
      <c r="AQ721" s="769">
        <v>22</v>
      </c>
      <c r="AR721" s="770">
        <v>12</v>
      </c>
      <c r="AS721" s="766">
        <v>45</v>
      </c>
      <c r="AT721" s="768">
        <v>67</v>
      </c>
      <c r="AU721" s="767">
        <v>6.99</v>
      </c>
      <c r="AV721" s="768">
        <v>32.6</v>
      </c>
      <c r="AW721" s="765">
        <v>144</v>
      </c>
      <c r="AX721" s="765">
        <v>942</v>
      </c>
      <c r="AY721" s="765">
        <v>133</v>
      </c>
      <c r="AZ721" s="765">
        <v>1280</v>
      </c>
      <c r="BA721" s="765">
        <v>39.9</v>
      </c>
      <c r="BB721" s="765">
        <v>314</v>
      </c>
      <c r="BC721" s="765">
        <v>63</v>
      </c>
      <c r="BD721" s="765">
        <v>478</v>
      </c>
      <c r="BE721" s="767">
        <v>0.39809349572121738</v>
      </c>
      <c r="BF721" s="768">
        <v>291.39999999999998</v>
      </c>
      <c r="BG721" s="765">
        <v>657</v>
      </c>
      <c r="BH721" s="765">
        <v>847</v>
      </c>
      <c r="BI721" s="765">
        <v>18500</v>
      </c>
      <c r="BJ721" s="765">
        <v>17.2</v>
      </c>
      <c r="BK721" s="765">
        <v>261</v>
      </c>
      <c r="BL721" s="771">
        <v>625</v>
      </c>
    </row>
    <row r="722" spans="35:64" x14ac:dyDescent="0.3">
      <c r="AI722" s="763" t="s">
        <v>1259</v>
      </c>
      <c r="AJ722" s="764">
        <v>6670</v>
      </c>
      <c r="AK722" s="765">
        <v>318</v>
      </c>
      <c r="AL722" s="765">
        <v>7.6</v>
      </c>
      <c r="AM722" s="765">
        <v>167</v>
      </c>
      <c r="AN722" s="765">
        <v>13.2</v>
      </c>
      <c r="AO722" s="773" t="s">
        <v>1260</v>
      </c>
      <c r="AP722" s="773">
        <v>36</v>
      </c>
      <c r="AQ722" s="769">
        <v>23</v>
      </c>
      <c r="AR722" s="770">
        <v>12</v>
      </c>
      <c r="AS722" s="766">
        <v>40</v>
      </c>
      <c r="AT722" s="768">
        <v>60</v>
      </c>
      <c r="AU722" s="767">
        <v>7.75</v>
      </c>
      <c r="AV722" s="768">
        <v>36.9</v>
      </c>
      <c r="AW722" s="765">
        <v>128</v>
      </c>
      <c r="AX722" s="765">
        <v>842</v>
      </c>
      <c r="AY722" s="765">
        <v>132</v>
      </c>
      <c r="AZ722" s="765">
        <v>1180</v>
      </c>
      <c r="BA722" s="765">
        <v>23.4</v>
      </c>
      <c r="BB722" s="765">
        <v>229</v>
      </c>
      <c r="BC722" s="765">
        <v>49.9</v>
      </c>
      <c r="BD722" s="765">
        <v>350</v>
      </c>
      <c r="BE722" s="767">
        <v>0.3202387458319782</v>
      </c>
      <c r="BF722" s="768">
        <v>293.7</v>
      </c>
      <c r="BG722" s="765">
        <v>718</v>
      </c>
      <c r="BH722" s="765">
        <v>505</v>
      </c>
      <c r="BI722" s="765">
        <v>15100</v>
      </c>
      <c r="BJ722" s="765">
        <v>12.6</v>
      </c>
      <c r="BK722" s="765">
        <v>234</v>
      </c>
      <c r="BL722" s="771">
        <v>581</v>
      </c>
    </row>
    <row r="723" spans="35:64" x14ac:dyDescent="0.3">
      <c r="AI723" s="763" t="s">
        <v>1261</v>
      </c>
      <c r="AJ723" s="764">
        <v>5690</v>
      </c>
      <c r="AK723" s="765">
        <v>313</v>
      </c>
      <c r="AL723" s="765">
        <v>6.6</v>
      </c>
      <c r="AM723" s="765">
        <v>166</v>
      </c>
      <c r="AN723" s="765">
        <v>11.2</v>
      </c>
      <c r="AO723" s="773" t="s">
        <v>1262</v>
      </c>
      <c r="AP723" s="773">
        <v>34</v>
      </c>
      <c r="AQ723" s="769">
        <v>22</v>
      </c>
      <c r="AR723" s="770">
        <v>12</v>
      </c>
      <c r="AS723" s="766">
        <v>35</v>
      </c>
      <c r="AT723" s="768">
        <v>52</v>
      </c>
      <c r="AU723" s="767">
        <v>6.33</v>
      </c>
      <c r="AV723" s="768">
        <v>38.4</v>
      </c>
      <c r="AW723" s="765">
        <v>119</v>
      </c>
      <c r="AX723" s="765">
        <v>750</v>
      </c>
      <c r="AY723" s="765">
        <v>131</v>
      </c>
      <c r="AZ723" s="765">
        <v>1050</v>
      </c>
      <c r="BA723" s="765">
        <v>20.7</v>
      </c>
      <c r="BB723" s="765">
        <v>203</v>
      </c>
      <c r="BC723" s="765">
        <v>49.5</v>
      </c>
      <c r="BD723" s="765">
        <v>310</v>
      </c>
      <c r="BE723" s="767">
        <v>0.31811435340154992</v>
      </c>
      <c r="BF723" s="768">
        <v>291.39999999999998</v>
      </c>
      <c r="BG723" s="765">
        <v>522</v>
      </c>
      <c r="BH723" s="765">
        <v>439</v>
      </c>
      <c r="BI723" s="765">
        <v>14900</v>
      </c>
      <c r="BJ723" s="765">
        <v>11.1</v>
      </c>
      <c r="BK723" s="765">
        <v>208</v>
      </c>
      <c r="BL723" s="771">
        <v>515</v>
      </c>
    </row>
    <row r="724" spans="35:64" x14ac:dyDescent="0.3">
      <c r="AI724" s="763" t="s">
        <v>1263</v>
      </c>
      <c r="AJ724" s="764">
        <v>4940</v>
      </c>
      <c r="AK724" s="765">
        <v>310</v>
      </c>
      <c r="AL724" s="765">
        <v>5.8</v>
      </c>
      <c r="AM724" s="765">
        <v>165</v>
      </c>
      <c r="AN724" s="765">
        <v>9.6999999999999993</v>
      </c>
      <c r="AO724" s="773" t="s">
        <v>1264</v>
      </c>
      <c r="AP724" s="773">
        <v>33</v>
      </c>
      <c r="AQ724" s="769">
        <v>22</v>
      </c>
      <c r="AR724" s="770">
        <v>12</v>
      </c>
      <c r="AS724" s="766">
        <v>30</v>
      </c>
      <c r="AT724" s="768">
        <v>45</v>
      </c>
      <c r="AU724" s="767">
        <v>7.41</v>
      </c>
      <c r="AV724" s="768">
        <v>44</v>
      </c>
      <c r="AW724" s="765">
        <v>99.2</v>
      </c>
      <c r="AX724" s="765">
        <v>634</v>
      </c>
      <c r="AY724" s="765">
        <v>130</v>
      </c>
      <c r="AZ724" s="765">
        <v>933</v>
      </c>
      <c r="BA724" s="765">
        <v>18.3</v>
      </c>
      <c r="BB724" s="765">
        <v>180</v>
      </c>
      <c r="BC724" s="765">
        <v>49.3</v>
      </c>
      <c r="BD724" s="765">
        <v>275</v>
      </c>
      <c r="BE724" s="767">
        <v>0.3155291828874513</v>
      </c>
      <c r="BF724" s="768">
        <v>289.89999999999998</v>
      </c>
      <c r="BG724" s="765">
        <v>378</v>
      </c>
      <c r="BH724" s="765">
        <v>384</v>
      </c>
      <c r="BI724" s="765">
        <v>14700</v>
      </c>
      <c r="BJ724" s="765">
        <v>9.7799999999999994</v>
      </c>
      <c r="BK724" s="765">
        <v>186</v>
      </c>
      <c r="BL724" s="771">
        <v>457</v>
      </c>
    </row>
    <row r="725" spans="35:64" x14ac:dyDescent="0.3">
      <c r="AI725" s="763" t="s">
        <v>1265</v>
      </c>
      <c r="AJ725" s="764">
        <v>3930</v>
      </c>
      <c r="AK725" s="765">
        <v>306</v>
      </c>
      <c r="AL725" s="765">
        <v>5</v>
      </c>
      <c r="AM725" s="765">
        <v>164</v>
      </c>
      <c r="AN725" s="765">
        <v>7.4</v>
      </c>
      <c r="AO725" s="773" t="s">
        <v>1266</v>
      </c>
      <c r="AP725" s="773">
        <v>30</v>
      </c>
      <c r="AQ725" s="774">
        <v>19</v>
      </c>
      <c r="AR725" s="770">
        <v>12</v>
      </c>
      <c r="AS725" s="766">
        <v>26</v>
      </c>
      <c r="AT725" s="768">
        <v>39</v>
      </c>
      <c r="AU725" s="767">
        <v>8.51</v>
      </c>
      <c r="AV725" s="768">
        <v>50.1</v>
      </c>
      <c r="AW725" s="765">
        <v>85.1</v>
      </c>
      <c r="AX725" s="765">
        <v>549</v>
      </c>
      <c r="AY725" s="765">
        <v>134</v>
      </c>
      <c r="AZ725" s="765">
        <v>841</v>
      </c>
      <c r="BA725" s="765">
        <v>10.3</v>
      </c>
      <c r="BB725" s="765">
        <v>123</v>
      </c>
      <c r="BC725" s="765">
        <v>39.200000000000003</v>
      </c>
      <c r="BD725" s="765">
        <v>189</v>
      </c>
      <c r="BE725" s="767">
        <v>0.25693479016786602</v>
      </c>
      <c r="BF725" s="768">
        <v>304.8</v>
      </c>
      <c r="BG725" s="765">
        <v>308</v>
      </c>
      <c r="BH725" s="765">
        <v>238</v>
      </c>
      <c r="BI725" s="765">
        <v>12700</v>
      </c>
      <c r="BJ725" s="765">
        <v>7.01</v>
      </c>
      <c r="BK725" s="765">
        <v>160</v>
      </c>
      <c r="BL725" s="771">
        <v>417</v>
      </c>
    </row>
    <row r="726" spans="35:64" x14ac:dyDescent="0.3">
      <c r="AI726" s="763" t="s">
        <v>1267</v>
      </c>
      <c r="AJ726" s="764">
        <v>4180</v>
      </c>
      <c r="AK726" s="765">
        <v>313</v>
      </c>
      <c r="AL726" s="765">
        <v>6.6</v>
      </c>
      <c r="AM726" s="765">
        <v>102</v>
      </c>
      <c r="AN726" s="765">
        <v>10.8</v>
      </c>
      <c r="AO726" s="773" t="s">
        <v>1268</v>
      </c>
      <c r="AP726" s="773">
        <v>28</v>
      </c>
      <c r="AQ726" s="769">
        <v>19</v>
      </c>
      <c r="AR726" s="770">
        <v>12</v>
      </c>
      <c r="AS726" s="766">
        <v>21</v>
      </c>
      <c r="AT726" s="765">
        <v>31</v>
      </c>
      <c r="AU726" s="767">
        <v>11.1</v>
      </c>
      <c r="AV726" s="768">
        <v>58.2</v>
      </c>
      <c r="AW726" s="765">
        <v>65.400000000000006</v>
      </c>
      <c r="AX726" s="765">
        <v>428</v>
      </c>
      <c r="AY726" s="765">
        <v>132</v>
      </c>
      <c r="AZ726" s="765">
        <v>708</v>
      </c>
      <c r="BA726" s="765">
        <v>8.5500000000000007</v>
      </c>
      <c r="BB726" s="765">
        <v>103</v>
      </c>
      <c r="BC726" s="765">
        <v>38.799999999999997</v>
      </c>
      <c r="BD726" s="765">
        <v>158</v>
      </c>
      <c r="BE726" s="773">
        <v>0.25377892452650708</v>
      </c>
      <c r="BF726" s="768">
        <v>301.8</v>
      </c>
      <c r="BG726" s="765">
        <v>191</v>
      </c>
      <c r="BH726" s="765">
        <v>195</v>
      </c>
      <c r="BI726" s="765">
        <v>12500</v>
      </c>
      <c r="BJ726" s="765">
        <v>5.82</v>
      </c>
      <c r="BK726" s="765">
        <v>135</v>
      </c>
      <c r="BL726" s="771">
        <v>350</v>
      </c>
    </row>
    <row r="727" spans="35:64" x14ac:dyDescent="0.3">
      <c r="AI727" s="763" t="s">
        <v>1269</v>
      </c>
      <c r="AJ727" s="764">
        <v>3610</v>
      </c>
      <c r="AK727" s="765">
        <v>309</v>
      </c>
      <c r="AL727" s="765">
        <v>6</v>
      </c>
      <c r="AM727" s="765">
        <v>102</v>
      </c>
      <c r="AN727" s="765">
        <v>8.9</v>
      </c>
      <c r="AO727" s="773" t="s">
        <v>1270</v>
      </c>
      <c r="AP727" s="773">
        <v>26</v>
      </c>
      <c r="AQ727" s="769">
        <v>18</v>
      </c>
      <c r="AR727" s="770">
        <v>12</v>
      </c>
      <c r="AS727" s="766">
        <v>22</v>
      </c>
      <c r="AT727" s="765">
        <v>33</v>
      </c>
      <c r="AU727" s="767">
        <v>4.72</v>
      </c>
      <c r="AV727" s="768">
        <v>44.2</v>
      </c>
      <c r="AW727" s="765">
        <v>65</v>
      </c>
      <c r="AX727" s="765">
        <v>415</v>
      </c>
      <c r="AY727" s="765">
        <v>131</v>
      </c>
      <c r="AZ727" s="765">
        <v>610</v>
      </c>
      <c r="BA727" s="765">
        <v>7.27</v>
      </c>
      <c r="BB727" s="765">
        <v>88.1</v>
      </c>
      <c r="BC727" s="765">
        <v>38.4</v>
      </c>
      <c r="BD727" s="765">
        <v>135</v>
      </c>
      <c r="BE727" s="773">
        <v>0.25078894731475349</v>
      </c>
      <c r="BF727" s="768">
        <v>300.3</v>
      </c>
      <c r="BG727" s="765">
        <v>126</v>
      </c>
      <c r="BH727" s="765">
        <v>164</v>
      </c>
      <c r="BI727" s="765">
        <v>12400</v>
      </c>
      <c r="BJ727" s="765">
        <v>4.96</v>
      </c>
      <c r="BK727" s="765">
        <v>116</v>
      </c>
      <c r="BL727" s="771">
        <v>302</v>
      </c>
    </row>
    <row r="728" spans="35:64" x14ac:dyDescent="0.3">
      <c r="AI728" s="763" t="s">
        <v>1271</v>
      </c>
      <c r="AJ728" s="764">
        <v>3040</v>
      </c>
      <c r="AK728" s="765">
        <v>305</v>
      </c>
      <c r="AL728" s="765">
        <v>5.6</v>
      </c>
      <c r="AM728" s="765">
        <v>101</v>
      </c>
      <c r="AN728" s="765">
        <v>6.7</v>
      </c>
      <c r="AO728" s="767" t="s">
        <v>1272</v>
      </c>
      <c r="AP728" s="767">
        <v>24</v>
      </c>
      <c r="AQ728" s="769">
        <v>18</v>
      </c>
      <c r="AR728" s="770">
        <v>12</v>
      </c>
      <c r="AS728" s="766">
        <v>19</v>
      </c>
      <c r="AT728" s="768">
        <v>28</v>
      </c>
      <c r="AU728" s="767">
        <v>5.73</v>
      </c>
      <c r="AV728" s="768">
        <v>48.5</v>
      </c>
      <c r="AW728" s="765">
        <v>54.3</v>
      </c>
      <c r="AX728" s="765">
        <v>351</v>
      </c>
      <c r="AY728" s="765">
        <v>129</v>
      </c>
      <c r="AZ728" s="765">
        <v>476</v>
      </c>
      <c r="BA728" s="765">
        <v>5.44</v>
      </c>
      <c r="BB728" s="765">
        <v>66.400000000000006</v>
      </c>
      <c r="BC728" s="765">
        <v>37.200000000000003</v>
      </c>
      <c r="BD728" s="765">
        <v>102</v>
      </c>
      <c r="BE728" s="767">
        <v>0.24483538403202779</v>
      </c>
      <c r="BF728" s="768">
        <v>298.60000000000002</v>
      </c>
      <c r="BG728" s="765">
        <v>61.3</v>
      </c>
      <c r="BH728" s="765">
        <v>121</v>
      </c>
      <c r="BI728" s="765">
        <v>12200</v>
      </c>
      <c r="BJ728" s="765">
        <v>3.71</v>
      </c>
      <c r="BK728" s="765">
        <v>87.8</v>
      </c>
      <c r="BL728" s="771">
        <v>234</v>
      </c>
    </row>
    <row r="729" spans="35:64" x14ac:dyDescent="0.3">
      <c r="AI729" s="763" t="s">
        <v>1273</v>
      </c>
      <c r="AJ729" s="764">
        <v>2690</v>
      </c>
      <c r="AK729" s="765">
        <v>303</v>
      </c>
      <c r="AL729" s="765">
        <v>5.0999999999999996</v>
      </c>
      <c r="AM729" s="765">
        <v>101</v>
      </c>
      <c r="AN729" s="765">
        <v>5.7</v>
      </c>
      <c r="AO729" s="767" t="s">
        <v>1274</v>
      </c>
      <c r="AP729" s="767">
        <v>23</v>
      </c>
      <c r="AQ729" s="769">
        <v>14</v>
      </c>
      <c r="AR729" s="770">
        <v>12</v>
      </c>
      <c r="AS729" s="766">
        <v>16</v>
      </c>
      <c r="AT729" s="768">
        <v>24</v>
      </c>
      <c r="AU729" s="767">
        <v>7.54</v>
      </c>
      <c r="AV729" s="768">
        <v>52.1</v>
      </c>
      <c r="AW729" s="765">
        <v>42.7</v>
      </c>
      <c r="AX729" s="765">
        <v>280</v>
      </c>
      <c r="AY729" s="765">
        <v>125</v>
      </c>
      <c r="AZ729" s="765">
        <v>480</v>
      </c>
      <c r="BA729" s="765">
        <v>1.92</v>
      </c>
      <c r="BB729" s="765">
        <v>37.6</v>
      </c>
      <c r="BC729" s="765">
        <v>21.4</v>
      </c>
      <c r="BD729" s="765">
        <v>59.6</v>
      </c>
      <c r="BE729" s="767">
        <v>0.14865166790371209</v>
      </c>
      <c r="BF729" s="768">
        <v>302.2</v>
      </c>
      <c r="BG729" s="765">
        <v>122</v>
      </c>
      <c r="BH729" s="765">
        <v>43.8</v>
      </c>
      <c r="BI729" s="765">
        <v>7710</v>
      </c>
      <c r="BJ729" s="765">
        <v>2.12</v>
      </c>
      <c r="BK729" s="765">
        <v>77.8</v>
      </c>
      <c r="BL729" s="771">
        <v>237</v>
      </c>
    </row>
    <row r="730" spans="35:64" x14ac:dyDescent="0.3">
      <c r="AI730" s="763" t="s">
        <v>1275</v>
      </c>
      <c r="AJ730" s="764">
        <v>21300</v>
      </c>
      <c r="AK730" s="765">
        <v>289</v>
      </c>
      <c r="AL730" s="765">
        <v>19.2</v>
      </c>
      <c r="AM730" s="765">
        <v>265</v>
      </c>
      <c r="AN730" s="765">
        <v>31.8</v>
      </c>
      <c r="AO730" s="767" t="s">
        <v>1276</v>
      </c>
      <c r="AP730" s="767">
        <v>22</v>
      </c>
      <c r="AQ730" s="769">
        <v>14</v>
      </c>
      <c r="AR730" s="770">
        <v>12</v>
      </c>
      <c r="AS730" s="766">
        <v>14</v>
      </c>
      <c r="AT730" s="768">
        <v>21</v>
      </c>
      <c r="AU730" s="767">
        <v>8.86</v>
      </c>
      <c r="AV730" s="768">
        <v>57.2</v>
      </c>
      <c r="AW730" s="765">
        <v>37</v>
      </c>
      <c r="AX730" s="765">
        <v>244</v>
      </c>
      <c r="AY730" s="765">
        <v>123</v>
      </c>
      <c r="AZ730" s="765">
        <v>407</v>
      </c>
      <c r="BA730" s="765">
        <v>1.58</v>
      </c>
      <c r="BB730" s="765">
        <v>31</v>
      </c>
      <c r="BC730" s="765">
        <v>20.9</v>
      </c>
      <c r="BD730" s="765">
        <v>49.2</v>
      </c>
      <c r="BE730" s="767">
        <v>0.14617503718863281</v>
      </c>
      <c r="BF730" s="767">
        <v>300.10000000000002</v>
      </c>
      <c r="BG730" s="765">
        <v>75.7</v>
      </c>
      <c r="BH730" s="765">
        <v>35.6</v>
      </c>
      <c r="BI730" s="765">
        <v>7650</v>
      </c>
      <c r="BJ730" s="765">
        <v>1.74</v>
      </c>
      <c r="BK730" s="765">
        <v>64.099999999999994</v>
      </c>
      <c r="BL730" s="771">
        <v>200</v>
      </c>
    </row>
    <row r="731" spans="35:64" x14ac:dyDescent="0.3">
      <c r="AI731" s="763" t="s">
        <v>1277</v>
      </c>
      <c r="AJ731" s="764">
        <v>19000</v>
      </c>
      <c r="AK731" s="765">
        <v>282</v>
      </c>
      <c r="AL731" s="765">
        <v>17.3</v>
      </c>
      <c r="AM731" s="765">
        <v>263</v>
      </c>
      <c r="AN731" s="765">
        <v>28.4</v>
      </c>
      <c r="AO731" s="767" t="s">
        <v>1278</v>
      </c>
      <c r="AP731" s="767">
        <v>19</v>
      </c>
      <c r="AQ731" s="770">
        <v>14</v>
      </c>
      <c r="AR731" s="770">
        <v>12</v>
      </c>
      <c r="AS731" s="766">
        <v>112</v>
      </c>
      <c r="AT731" s="768">
        <v>167</v>
      </c>
      <c r="AU731" s="767">
        <v>4.17</v>
      </c>
      <c r="AV731" s="768">
        <v>11.7</v>
      </c>
      <c r="AW731" s="765">
        <v>300</v>
      </c>
      <c r="AX731" s="765">
        <v>2080</v>
      </c>
      <c r="AY731" s="765">
        <v>119</v>
      </c>
      <c r="AZ731" s="765">
        <v>328</v>
      </c>
      <c r="BA731" s="765">
        <v>1.1599999999999999</v>
      </c>
      <c r="BB731" s="765">
        <v>22.9</v>
      </c>
      <c r="BC731" s="765">
        <v>19.5</v>
      </c>
      <c r="BD731" s="765">
        <v>36.700000000000003</v>
      </c>
      <c r="BE731" s="767">
        <v>0.13964286885165519</v>
      </c>
      <c r="BF731" s="767">
        <v>298.3</v>
      </c>
      <c r="BG731" s="765">
        <v>42.5</v>
      </c>
      <c r="BH731" s="765">
        <v>25.7</v>
      </c>
      <c r="BI731" s="765">
        <v>7530</v>
      </c>
      <c r="BJ731" s="765">
        <v>1.27</v>
      </c>
      <c r="BK731" s="765">
        <v>47.7</v>
      </c>
      <c r="BL731" s="771">
        <v>160</v>
      </c>
    </row>
    <row r="732" spans="35:64" x14ac:dyDescent="0.3">
      <c r="AI732" s="763" t="s">
        <v>1279</v>
      </c>
      <c r="AJ732" s="764">
        <v>16700</v>
      </c>
      <c r="AK732" s="765">
        <v>275</v>
      </c>
      <c r="AL732" s="765">
        <v>15.4</v>
      </c>
      <c r="AM732" s="765">
        <v>261</v>
      </c>
      <c r="AN732" s="765">
        <v>25.1</v>
      </c>
      <c r="AO732" s="767" t="s">
        <v>1280</v>
      </c>
      <c r="AP732" s="767">
        <v>18</v>
      </c>
      <c r="AQ732" s="772">
        <v>14</v>
      </c>
      <c r="AR732" s="770">
        <v>12</v>
      </c>
      <c r="AS732" s="766">
        <v>100</v>
      </c>
      <c r="AT732" s="768">
        <v>149</v>
      </c>
      <c r="AU732" s="767">
        <v>4.63</v>
      </c>
      <c r="AV732" s="768">
        <v>13</v>
      </c>
      <c r="AW732" s="765">
        <v>259</v>
      </c>
      <c r="AX732" s="765">
        <v>1840</v>
      </c>
      <c r="AY732" s="765">
        <v>117</v>
      </c>
      <c r="AZ732" s="765">
        <v>287</v>
      </c>
      <c r="BA732" s="765">
        <v>0.98299999999999998</v>
      </c>
      <c r="BB732" s="765">
        <v>19.5</v>
      </c>
      <c r="BC732" s="765">
        <v>19.100000000000001</v>
      </c>
      <c r="BD732" s="765">
        <v>31.2</v>
      </c>
      <c r="BE732" s="767">
        <v>0.13758098035255631</v>
      </c>
      <c r="BF732" s="767">
        <v>297.3</v>
      </c>
      <c r="BG732" s="765">
        <v>29.4</v>
      </c>
      <c r="BH732" s="765">
        <v>21.7</v>
      </c>
      <c r="BI732" s="765">
        <v>7510</v>
      </c>
      <c r="BJ732" s="765">
        <v>1.08</v>
      </c>
      <c r="BK732" s="765">
        <v>40.6</v>
      </c>
      <c r="BL732" s="771">
        <v>140</v>
      </c>
    </row>
    <row r="733" spans="35:64" x14ac:dyDescent="0.3">
      <c r="AI733" s="763" t="s">
        <v>1281</v>
      </c>
      <c r="AJ733" s="764">
        <v>14600</v>
      </c>
      <c r="AK733" s="765">
        <v>269</v>
      </c>
      <c r="AL733" s="765">
        <v>13.5</v>
      </c>
      <c r="AM733" s="765">
        <v>259</v>
      </c>
      <c r="AN733" s="765">
        <v>22.1</v>
      </c>
      <c r="AO733" s="767" t="s">
        <v>1282</v>
      </c>
      <c r="AP733" s="767">
        <v>49</v>
      </c>
      <c r="AQ733" s="772">
        <v>25</v>
      </c>
      <c r="AR733" s="770">
        <v>10</v>
      </c>
      <c r="AS733" s="766">
        <v>88</v>
      </c>
      <c r="AT733" s="768">
        <v>131</v>
      </c>
      <c r="AU733" s="767">
        <v>5.2</v>
      </c>
      <c r="AV733" s="768">
        <v>14.6</v>
      </c>
      <c r="AW733" s="765">
        <v>221</v>
      </c>
      <c r="AX733" s="765">
        <v>1610</v>
      </c>
      <c r="AY733" s="765">
        <v>119</v>
      </c>
      <c r="AZ733" s="765">
        <v>2430</v>
      </c>
      <c r="BA733" s="765">
        <v>98.8</v>
      </c>
      <c r="BB733" s="765">
        <v>746</v>
      </c>
      <c r="BC733" s="765">
        <v>68.099999999999994</v>
      </c>
      <c r="BD733" s="765">
        <v>1140</v>
      </c>
      <c r="BE733" s="767">
        <v>0.43924261636000322</v>
      </c>
      <c r="BF733" s="767">
        <v>257.2</v>
      </c>
      <c r="BG733" s="765">
        <v>6310</v>
      </c>
      <c r="BH733" s="765">
        <v>1630</v>
      </c>
      <c r="BI733" s="765">
        <v>17000</v>
      </c>
      <c r="BJ733" s="765">
        <v>35.9</v>
      </c>
      <c r="BK733" s="765">
        <v>503</v>
      </c>
      <c r="BL733" s="771">
        <v>1210</v>
      </c>
    </row>
    <row r="734" spans="35:64" x14ac:dyDescent="0.3">
      <c r="AI734" s="763" t="s">
        <v>1283</v>
      </c>
      <c r="AJ734" s="764">
        <v>12900</v>
      </c>
      <c r="AK734" s="765">
        <v>264</v>
      </c>
      <c r="AL734" s="765">
        <v>11.9</v>
      </c>
      <c r="AM734" s="765">
        <v>257</v>
      </c>
      <c r="AN734" s="765">
        <v>19.600000000000001</v>
      </c>
      <c r="AO734" s="767" t="s">
        <v>1284</v>
      </c>
      <c r="AP734" s="767">
        <v>45</v>
      </c>
      <c r="AQ734" s="772">
        <v>24</v>
      </c>
      <c r="AR734" s="770">
        <v>10</v>
      </c>
      <c r="AS734" s="766">
        <v>77</v>
      </c>
      <c r="AT734" s="768">
        <v>115</v>
      </c>
      <c r="AU734" s="767">
        <v>5.86</v>
      </c>
      <c r="AV734" s="768">
        <v>16.7</v>
      </c>
      <c r="AW734" s="765">
        <v>189</v>
      </c>
      <c r="AX734" s="765">
        <v>1410</v>
      </c>
      <c r="AY734" s="765">
        <v>117</v>
      </c>
      <c r="AZ734" s="765">
        <v>2130</v>
      </c>
      <c r="BA734" s="765">
        <v>86.2</v>
      </c>
      <c r="BB734" s="765">
        <v>656</v>
      </c>
      <c r="BC734" s="765">
        <v>67.400000000000006</v>
      </c>
      <c r="BD734" s="765">
        <v>1000</v>
      </c>
      <c r="BE734" s="767">
        <v>0.43373214000364418</v>
      </c>
      <c r="BF734" s="767">
        <v>253.6</v>
      </c>
      <c r="BG734" s="765">
        <v>4510</v>
      </c>
      <c r="BH734" s="765">
        <v>1390</v>
      </c>
      <c r="BI734" s="765">
        <v>16700</v>
      </c>
      <c r="BJ734" s="765">
        <v>31.1</v>
      </c>
      <c r="BK734" s="765">
        <v>442</v>
      </c>
      <c r="BL734" s="771">
        <v>1060</v>
      </c>
    </row>
    <row r="735" spans="35:64" x14ac:dyDescent="0.3">
      <c r="AI735" s="763" t="s">
        <v>1285</v>
      </c>
      <c r="AJ735" s="764">
        <v>11400</v>
      </c>
      <c r="AK735" s="765">
        <v>260</v>
      </c>
      <c r="AL735" s="765">
        <v>10.7</v>
      </c>
      <c r="AM735" s="765">
        <v>256</v>
      </c>
      <c r="AN735" s="765">
        <v>17.3</v>
      </c>
      <c r="AO735" s="767" t="s">
        <v>1286</v>
      </c>
      <c r="AP735" s="767">
        <v>42</v>
      </c>
      <c r="AQ735" s="772">
        <v>23</v>
      </c>
      <c r="AR735" s="770">
        <v>10</v>
      </c>
      <c r="AS735" s="766">
        <v>68</v>
      </c>
      <c r="AT735" s="768">
        <v>101</v>
      </c>
      <c r="AU735" s="767">
        <v>6.56</v>
      </c>
      <c r="AV735" s="768">
        <v>18.899999999999999</v>
      </c>
      <c r="AW735" s="765">
        <v>164</v>
      </c>
      <c r="AX735" s="765">
        <v>1240</v>
      </c>
      <c r="AY735" s="765">
        <v>115</v>
      </c>
      <c r="AZ735" s="765">
        <v>1850</v>
      </c>
      <c r="BA735" s="765">
        <v>74.5</v>
      </c>
      <c r="BB735" s="765">
        <v>571</v>
      </c>
      <c r="BC735" s="765">
        <v>66.8</v>
      </c>
      <c r="BD735" s="765">
        <v>870</v>
      </c>
      <c r="BE735" s="767">
        <v>0.42730761015872371</v>
      </c>
      <c r="BF735" s="767">
        <v>249.9</v>
      </c>
      <c r="BG735" s="765">
        <v>3120</v>
      </c>
      <c r="BH735" s="765">
        <v>1160</v>
      </c>
      <c r="BI735" s="765">
        <v>16300</v>
      </c>
      <c r="BJ735" s="765">
        <v>26.7</v>
      </c>
      <c r="BK735" s="765">
        <v>385</v>
      </c>
      <c r="BL735" s="771">
        <v>916</v>
      </c>
    </row>
    <row r="736" spans="35:64" x14ac:dyDescent="0.3">
      <c r="AI736" s="763" t="s">
        <v>1287</v>
      </c>
      <c r="AJ736" s="764">
        <v>10200</v>
      </c>
      <c r="AK736" s="765">
        <v>256</v>
      </c>
      <c r="AL736" s="765">
        <v>9.4</v>
      </c>
      <c r="AM736" s="765">
        <v>255</v>
      </c>
      <c r="AN736" s="765">
        <v>15.6</v>
      </c>
      <c r="AO736" s="767" t="s">
        <v>1288</v>
      </c>
      <c r="AP736" s="767">
        <v>39</v>
      </c>
      <c r="AQ736" s="769">
        <v>22</v>
      </c>
      <c r="AR736" s="770">
        <v>10</v>
      </c>
      <c r="AS736" s="766">
        <v>60</v>
      </c>
      <c r="AT736" s="768">
        <v>89</v>
      </c>
      <c r="AU736" s="767">
        <v>7.4</v>
      </c>
      <c r="AV736" s="768">
        <v>21.1</v>
      </c>
      <c r="AW736" s="765">
        <v>143</v>
      </c>
      <c r="AX736" s="765">
        <v>1100</v>
      </c>
      <c r="AY736" s="765">
        <v>114</v>
      </c>
      <c r="AZ736" s="765">
        <v>1600</v>
      </c>
      <c r="BA736" s="765">
        <v>64.099999999999994</v>
      </c>
      <c r="BB736" s="765">
        <v>495</v>
      </c>
      <c r="BC736" s="765">
        <v>66.2</v>
      </c>
      <c r="BD736" s="765">
        <v>753</v>
      </c>
      <c r="BE736" s="767">
        <v>0.42117967532481509</v>
      </c>
      <c r="BF736" s="767">
        <v>246.9</v>
      </c>
      <c r="BG736" s="765">
        <v>2130</v>
      </c>
      <c r="BH736" s="765">
        <v>976</v>
      </c>
      <c r="BI736" s="765">
        <v>16000</v>
      </c>
      <c r="BJ736" s="765">
        <v>22.9</v>
      </c>
      <c r="BK736" s="765">
        <v>335</v>
      </c>
      <c r="BL736" s="771">
        <v>792</v>
      </c>
    </row>
    <row r="737" spans="35:64" x14ac:dyDescent="0.3">
      <c r="AI737" s="763" t="s">
        <v>1289</v>
      </c>
      <c r="AJ737" s="764">
        <v>9280</v>
      </c>
      <c r="AK737" s="765">
        <v>253</v>
      </c>
      <c r="AL737" s="765">
        <v>8.6</v>
      </c>
      <c r="AM737" s="765">
        <v>254</v>
      </c>
      <c r="AN737" s="765">
        <v>14.2</v>
      </c>
      <c r="AO737" s="767" t="s">
        <v>1290</v>
      </c>
      <c r="AP737" s="767">
        <v>36</v>
      </c>
      <c r="AQ737" s="769">
        <v>21</v>
      </c>
      <c r="AR737" s="770">
        <v>10</v>
      </c>
      <c r="AS737" s="766">
        <v>54</v>
      </c>
      <c r="AT737" s="768">
        <v>80</v>
      </c>
      <c r="AU737" s="767">
        <v>8.17</v>
      </c>
      <c r="AV737" s="768">
        <v>23.9</v>
      </c>
      <c r="AW737" s="765">
        <v>126</v>
      </c>
      <c r="AX737" s="765">
        <v>982</v>
      </c>
      <c r="AY737" s="765">
        <v>113</v>
      </c>
      <c r="AZ737" s="765">
        <v>1400</v>
      </c>
      <c r="BA737" s="765">
        <v>55.5</v>
      </c>
      <c r="BB737" s="765">
        <v>432</v>
      </c>
      <c r="BC737" s="765">
        <v>65.599999999999994</v>
      </c>
      <c r="BD737" s="765">
        <v>656</v>
      </c>
      <c r="BE737" s="767">
        <v>0.41591160248489611</v>
      </c>
      <c r="BF737" s="767">
        <v>244.4</v>
      </c>
      <c r="BG737" s="765">
        <v>1490</v>
      </c>
      <c r="BH737" s="765">
        <v>829</v>
      </c>
      <c r="BI737" s="765">
        <v>15700</v>
      </c>
      <c r="BJ737" s="765">
        <v>19.8</v>
      </c>
      <c r="BK737" s="765">
        <v>294</v>
      </c>
      <c r="BL737" s="771">
        <v>691</v>
      </c>
    </row>
    <row r="738" spans="35:64" x14ac:dyDescent="0.3">
      <c r="AI738" s="763" t="s">
        <v>1291</v>
      </c>
      <c r="AJ738" s="764">
        <v>8550</v>
      </c>
      <c r="AK738" s="765">
        <v>257</v>
      </c>
      <c r="AL738" s="765">
        <v>8.9</v>
      </c>
      <c r="AM738" s="765">
        <v>204</v>
      </c>
      <c r="AN738" s="765">
        <v>15.7</v>
      </c>
      <c r="AO738" s="773" t="s">
        <v>1292</v>
      </c>
      <c r="AP738" s="773">
        <v>34</v>
      </c>
      <c r="AQ738" s="769">
        <v>21</v>
      </c>
      <c r="AR738" s="770">
        <v>10</v>
      </c>
      <c r="AS738" s="766">
        <v>49</v>
      </c>
      <c r="AT738" s="768">
        <v>73</v>
      </c>
      <c r="AU738" s="767">
        <v>8.94</v>
      </c>
      <c r="AV738" s="768">
        <v>26.1</v>
      </c>
      <c r="AW738" s="765">
        <v>113</v>
      </c>
      <c r="AX738" s="765">
        <v>891</v>
      </c>
      <c r="AY738" s="765">
        <v>112</v>
      </c>
      <c r="AZ738" s="765">
        <v>1230</v>
      </c>
      <c r="BA738" s="765">
        <v>48.4</v>
      </c>
      <c r="BB738" s="765">
        <v>378</v>
      </c>
      <c r="BC738" s="765">
        <v>65.099999999999994</v>
      </c>
      <c r="BD738" s="765">
        <v>574</v>
      </c>
      <c r="BE738" s="767">
        <v>0.41094848175978987</v>
      </c>
      <c r="BF738" s="767">
        <v>242.7</v>
      </c>
      <c r="BG738" s="765">
        <v>1040</v>
      </c>
      <c r="BH738" s="765">
        <v>713</v>
      </c>
      <c r="BI738" s="765">
        <v>15500</v>
      </c>
      <c r="BJ738" s="765">
        <v>17.2</v>
      </c>
      <c r="BK738" s="765">
        <v>257</v>
      </c>
      <c r="BL738" s="771">
        <v>605</v>
      </c>
    </row>
    <row r="739" spans="35:64" x14ac:dyDescent="0.3">
      <c r="AI739" s="763" t="s">
        <v>1293</v>
      </c>
      <c r="AJ739" s="764">
        <v>7420</v>
      </c>
      <c r="AK739" s="765">
        <v>252</v>
      </c>
      <c r="AL739" s="765">
        <v>8</v>
      </c>
      <c r="AM739" s="765">
        <v>203</v>
      </c>
      <c r="AN739" s="765">
        <v>13.5</v>
      </c>
      <c r="AO739" s="773" t="s">
        <v>1294</v>
      </c>
      <c r="AP739" s="773">
        <v>32</v>
      </c>
      <c r="AQ739" s="769">
        <v>20</v>
      </c>
      <c r="AR739" s="770">
        <v>10</v>
      </c>
      <c r="AS739" s="766">
        <v>45</v>
      </c>
      <c r="AT739" s="768">
        <v>67</v>
      </c>
      <c r="AU739" s="767">
        <v>6.5</v>
      </c>
      <c r="AV739" s="768">
        <v>25.3</v>
      </c>
      <c r="AW739" s="765">
        <v>104</v>
      </c>
      <c r="AX739" s="765">
        <v>806</v>
      </c>
      <c r="AY739" s="765">
        <v>111</v>
      </c>
      <c r="AZ739" s="765">
        <v>1090</v>
      </c>
      <c r="BA739" s="765">
        <v>43.1</v>
      </c>
      <c r="BB739" s="765">
        <v>338</v>
      </c>
      <c r="BC739" s="765">
        <v>65</v>
      </c>
      <c r="BD739" s="765">
        <v>513</v>
      </c>
      <c r="BE739" s="767">
        <v>0.40849390909763622</v>
      </c>
      <c r="BF739" s="768">
        <v>240.4</v>
      </c>
      <c r="BG739" s="765">
        <v>757</v>
      </c>
      <c r="BH739" s="765">
        <v>623</v>
      </c>
      <c r="BI739" s="765">
        <v>15300</v>
      </c>
      <c r="BJ739" s="765">
        <v>15.2</v>
      </c>
      <c r="BK739" s="765">
        <v>230</v>
      </c>
      <c r="BL739" s="771">
        <v>538</v>
      </c>
    </row>
    <row r="740" spans="35:64" x14ac:dyDescent="0.3">
      <c r="AI740" s="763" t="s">
        <v>1295</v>
      </c>
      <c r="AJ740" s="764">
        <v>6250</v>
      </c>
      <c r="AK740" s="765">
        <v>247</v>
      </c>
      <c r="AL740" s="765">
        <v>7.4</v>
      </c>
      <c r="AM740" s="765">
        <v>202</v>
      </c>
      <c r="AN740" s="765">
        <v>11</v>
      </c>
      <c r="AO740" s="773" t="s">
        <v>1296</v>
      </c>
      <c r="AP740" s="773">
        <v>31</v>
      </c>
      <c r="AQ740" s="769">
        <v>20</v>
      </c>
      <c r="AR740" s="770">
        <v>10</v>
      </c>
      <c r="AS740" s="766">
        <v>39</v>
      </c>
      <c r="AT740" s="768">
        <v>58</v>
      </c>
      <c r="AU740" s="767">
        <v>7.52</v>
      </c>
      <c r="AV740" s="768">
        <v>28.1</v>
      </c>
      <c r="AW740" s="765">
        <v>87.3</v>
      </c>
      <c r="AX740" s="765">
        <v>693</v>
      </c>
      <c r="AY740" s="765">
        <v>110</v>
      </c>
      <c r="AZ740" s="765">
        <v>985</v>
      </c>
      <c r="BA740" s="765">
        <v>38.799999999999997</v>
      </c>
      <c r="BB740" s="765">
        <v>306</v>
      </c>
      <c r="BC740" s="765">
        <v>64.599999999999994</v>
      </c>
      <c r="BD740" s="765">
        <v>463</v>
      </c>
      <c r="BE740" s="767">
        <v>0.40546219040000198</v>
      </c>
      <c r="BF740" s="767">
        <v>238.8</v>
      </c>
      <c r="BG740" s="765">
        <v>575</v>
      </c>
      <c r="BH740" s="765">
        <v>553</v>
      </c>
      <c r="BI740" s="765">
        <v>15200</v>
      </c>
      <c r="BJ740" s="765">
        <v>13.7</v>
      </c>
      <c r="BK740" s="765">
        <v>208</v>
      </c>
      <c r="BL740" s="771">
        <v>485</v>
      </c>
    </row>
    <row r="741" spans="35:64" x14ac:dyDescent="0.3">
      <c r="AI741" s="763" t="s">
        <v>1297</v>
      </c>
      <c r="AJ741" s="764">
        <v>5720</v>
      </c>
      <c r="AK741" s="765">
        <v>266</v>
      </c>
      <c r="AL741" s="765">
        <v>7.6</v>
      </c>
      <c r="AM741" s="765">
        <v>148</v>
      </c>
      <c r="AN741" s="765">
        <v>13</v>
      </c>
      <c r="AO741" s="773" t="s">
        <v>1298</v>
      </c>
      <c r="AP741" s="773">
        <v>32</v>
      </c>
      <c r="AQ741" s="770">
        <v>20</v>
      </c>
      <c r="AR741" s="770">
        <v>10</v>
      </c>
      <c r="AS741" s="766">
        <v>33</v>
      </c>
      <c r="AT741" s="768">
        <v>49</v>
      </c>
      <c r="AU741" s="767">
        <v>9.18</v>
      </c>
      <c r="AV741" s="768">
        <v>30.4</v>
      </c>
      <c r="AW741" s="765">
        <v>70.599999999999994</v>
      </c>
      <c r="AX741" s="765">
        <v>572</v>
      </c>
      <c r="AY741" s="765">
        <v>110</v>
      </c>
      <c r="AZ741" s="765">
        <v>901</v>
      </c>
      <c r="BA741" s="765">
        <v>22.2</v>
      </c>
      <c r="BB741" s="765">
        <v>218</v>
      </c>
      <c r="BC741" s="765">
        <v>51</v>
      </c>
      <c r="BD741" s="765">
        <v>332</v>
      </c>
      <c r="BE741" s="767">
        <v>0.32438217038094103</v>
      </c>
      <c r="BF741" s="767">
        <v>241.3</v>
      </c>
      <c r="BG741" s="765">
        <v>625</v>
      </c>
      <c r="BH741" s="765">
        <v>324</v>
      </c>
      <c r="BI741" s="765">
        <v>12300</v>
      </c>
      <c r="BJ741" s="765">
        <v>9.85</v>
      </c>
      <c r="BK741" s="765">
        <v>185</v>
      </c>
      <c r="BL741" s="771">
        <v>443</v>
      </c>
    </row>
    <row r="742" spans="35:64" x14ac:dyDescent="0.3">
      <c r="AI742" s="763" t="s">
        <v>1299</v>
      </c>
      <c r="AJ742" s="764">
        <v>4920</v>
      </c>
      <c r="AK742" s="765">
        <v>262</v>
      </c>
      <c r="AL742" s="765">
        <v>6.6</v>
      </c>
      <c r="AM742" s="765">
        <v>147</v>
      </c>
      <c r="AN742" s="765">
        <v>11.2</v>
      </c>
      <c r="AO742" s="773" t="s">
        <v>1300</v>
      </c>
      <c r="AP742" s="773">
        <v>30</v>
      </c>
      <c r="AQ742" s="769">
        <v>19</v>
      </c>
      <c r="AR742" s="770">
        <v>10</v>
      </c>
      <c r="AS742" s="766">
        <v>30</v>
      </c>
      <c r="AT742" s="768">
        <v>45</v>
      </c>
      <c r="AU742" s="767">
        <v>5.69</v>
      </c>
      <c r="AV742" s="768">
        <v>31.6</v>
      </c>
      <c r="AW742" s="765">
        <v>71.099999999999994</v>
      </c>
      <c r="AX742" s="765">
        <v>534</v>
      </c>
      <c r="AY742" s="765">
        <v>108</v>
      </c>
      <c r="AZ742" s="765">
        <v>770</v>
      </c>
      <c r="BA742" s="765">
        <v>18.8</v>
      </c>
      <c r="BB742" s="765">
        <v>186</v>
      </c>
      <c r="BC742" s="765">
        <v>50.4</v>
      </c>
      <c r="BD742" s="765">
        <v>283</v>
      </c>
      <c r="BE742" s="767">
        <v>0.32004168149200168</v>
      </c>
      <c r="BF742" s="767">
        <v>238.5</v>
      </c>
      <c r="BG742" s="765">
        <v>409</v>
      </c>
      <c r="BH742" s="765">
        <v>268</v>
      </c>
      <c r="BI742" s="765">
        <v>12100</v>
      </c>
      <c r="BJ742" s="765">
        <v>8.2899999999999991</v>
      </c>
      <c r="BK742" s="765">
        <v>157</v>
      </c>
      <c r="BL742" s="771">
        <v>377</v>
      </c>
    </row>
    <row r="743" spans="35:64" x14ac:dyDescent="0.3">
      <c r="AI743" s="763" t="s">
        <v>1301</v>
      </c>
      <c r="AJ743" s="764">
        <v>4170</v>
      </c>
      <c r="AK743" s="765">
        <v>258</v>
      </c>
      <c r="AL743" s="765">
        <v>6.1</v>
      </c>
      <c r="AM743" s="765">
        <v>146</v>
      </c>
      <c r="AN743" s="765">
        <v>9.1</v>
      </c>
      <c r="AO743" s="773" t="s">
        <v>1302</v>
      </c>
      <c r="AP743" s="773">
        <v>28</v>
      </c>
      <c r="AQ743" s="769">
        <v>19</v>
      </c>
      <c r="AR743" s="770">
        <v>10</v>
      </c>
      <c r="AS743" s="766">
        <v>26</v>
      </c>
      <c r="AT743" s="768">
        <v>39</v>
      </c>
      <c r="AU743" s="767">
        <v>6.56</v>
      </c>
      <c r="AV743" s="768">
        <v>36.299999999999997</v>
      </c>
      <c r="AW743" s="765">
        <v>60.1</v>
      </c>
      <c r="AX743" s="765">
        <v>459</v>
      </c>
      <c r="AY743" s="765">
        <v>106</v>
      </c>
      <c r="AZ743" s="765">
        <v>633</v>
      </c>
      <c r="BA743" s="765">
        <v>15.1</v>
      </c>
      <c r="BB743" s="765">
        <v>150</v>
      </c>
      <c r="BC743" s="765">
        <v>49.2</v>
      </c>
      <c r="BD743" s="765">
        <v>228</v>
      </c>
      <c r="BE743" s="767">
        <v>0.31413536841731049</v>
      </c>
      <c r="BF743" s="767">
        <v>236</v>
      </c>
      <c r="BG743" s="765">
        <v>241</v>
      </c>
      <c r="BH743" s="765">
        <v>211</v>
      </c>
      <c r="BI743" s="765">
        <v>11900</v>
      </c>
      <c r="BJ743" s="765">
        <v>6.62</v>
      </c>
      <c r="BK743" s="765">
        <v>126</v>
      </c>
      <c r="BL743" s="771">
        <v>309</v>
      </c>
    </row>
    <row r="744" spans="35:64" x14ac:dyDescent="0.3">
      <c r="AI744" s="763" t="s">
        <v>1303</v>
      </c>
      <c r="AJ744" s="764">
        <v>3110</v>
      </c>
      <c r="AK744" s="765">
        <v>253</v>
      </c>
      <c r="AL744" s="765">
        <v>5</v>
      </c>
      <c r="AM744" s="765">
        <v>145</v>
      </c>
      <c r="AN744" s="765">
        <v>6.4</v>
      </c>
      <c r="AO744" s="773" t="s">
        <v>1304</v>
      </c>
      <c r="AP744" s="773">
        <v>27</v>
      </c>
      <c r="AQ744" s="769">
        <v>17</v>
      </c>
      <c r="AR744" s="770">
        <v>10</v>
      </c>
      <c r="AS744" s="766">
        <v>22</v>
      </c>
      <c r="AT744" s="768">
        <v>33</v>
      </c>
      <c r="AU744" s="767">
        <v>8.02</v>
      </c>
      <c r="AV744" s="768">
        <v>39.299999999999997</v>
      </c>
      <c r="AW744" s="765">
        <v>48.9</v>
      </c>
      <c r="AX744" s="765">
        <v>379</v>
      </c>
      <c r="AY744" s="765">
        <v>111</v>
      </c>
      <c r="AZ744" s="765">
        <v>602</v>
      </c>
      <c r="BA744" s="765">
        <v>7.03</v>
      </c>
      <c r="BB744" s="765">
        <v>95.1</v>
      </c>
      <c r="BC744" s="765">
        <v>35.1</v>
      </c>
      <c r="BD744" s="765">
        <v>146</v>
      </c>
      <c r="BE744" s="767">
        <v>0.2297406331455909</v>
      </c>
      <c r="BF744" s="767">
        <v>253</v>
      </c>
      <c r="BG744" s="765">
        <v>261</v>
      </c>
      <c r="BH744" s="765">
        <v>113</v>
      </c>
      <c r="BI744" s="765">
        <v>9360</v>
      </c>
      <c r="BJ744" s="765">
        <v>4.5</v>
      </c>
      <c r="BK744" s="765">
        <v>115</v>
      </c>
      <c r="BL744" s="771">
        <v>298</v>
      </c>
    </row>
    <row r="745" spans="35:64" x14ac:dyDescent="0.3">
      <c r="AI745" s="763" t="s">
        <v>1305</v>
      </c>
      <c r="AJ745" s="764">
        <v>3630</v>
      </c>
      <c r="AK745" s="765">
        <v>260</v>
      </c>
      <c r="AL745" s="765">
        <v>6.4</v>
      </c>
      <c r="AM745" s="765">
        <v>102</v>
      </c>
      <c r="AN745" s="765">
        <v>10</v>
      </c>
      <c r="AO745" s="773" t="s">
        <v>1306</v>
      </c>
      <c r="AP745" s="773">
        <v>25</v>
      </c>
      <c r="AQ745" s="769">
        <v>16</v>
      </c>
      <c r="AR745" s="770">
        <v>10</v>
      </c>
      <c r="AS745" s="766">
        <v>16</v>
      </c>
      <c r="AT745" s="768">
        <v>24</v>
      </c>
      <c r="AU745" s="767">
        <v>11.3</v>
      </c>
      <c r="AV745" s="768">
        <v>48</v>
      </c>
      <c r="AW745" s="765">
        <v>34.700000000000003</v>
      </c>
      <c r="AX745" s="765">
        <v>274</v>
      </c>
      <c r="AY745" s="765">
        <v>110</v>
      </c>
      <c r="AZ745" s="765">
        <v>513</v>
      </c>
      <c r="BA745" s="765">
        <v>5.94</v>
      </c>
      <c r="BB745" s="765">
        <v>80.8</v>
      </c>
      <c r="BC745" s="765">
        <v>34.700000000000003</v>
      </c>
      <c r="BD745" s="765">
        <v>124</v>
      </c>
      <c r="BE745" s="773">
        <v>0.22653065855102261</v>
      </c>
      <c r="BF745" s="767">
        <v>250.8</v>
      </c>
      <c r="BG745" s="765">
        <v>169</v>
      </c>
      <c r="BH745" s="765">
        <v>93.4</v>
      </c>
      <c r="BI745" s="765">
        <v>9220</v>
      </c>
      <c r="BJ745" s="765">
        <v>3.79</v>
      </c>
      <c r="BK745" s="765">
        <v>98.6</v>
      </c>
      <c r="BL745" s="771">
        <v>254</v>
      </c>
    </row>
    <row r="746" spans="35:64" x14ac:dyDescent="0.3">
      <c r="AI746" s="763" t="s">
        <v>1307</v>
      </c>
      <c r="AJ746" s="764">
        <v>3230</v>
      </c>
      <c r="AK746" s="765">
        <v>257</v>
      </c>
      <c r="AL746" s="765">
        <v>6.1</v>
      </c>
      <c r="AM746" s="765">
        <v>102</v>
      </c>
      <c r="AN746" s="765">
        <v>8.4</v>
      </c>
      <c r="AO746" s="767" t="s">
        <v>1308</v>
      </c>
      <c r="AP746" s="767">
        <v>23</v>
      </c>
      <c r="AQ746" s="769">
        <v>16</v>
      </c>
      <c r="AR746" s="770">
        <v>10</v>
      </c>
      <c r="AS746" s="766">
        <v>19</v>
      </c>
      <c r="AT746" s="768">
        <v>28</v>
      </c>
      <c r="AU746" s="767">
        <v>5.0999999999999996</v>
      </c>
      <c r="AV746" s="768">
        <v>37.5</v>
      </c>
      <c r="AW746" s="765">
        <v>40</v>
      </c>
      <c r="AX746" s="765">
        <v>307</v>
      </c>
      <c r="AY746" s="765">
        <v>108</v>
      </c>
      <c r="AZ746" s="765">
        <v>424</v>
      </c>
      <c r="BA746" s="765">
        <v>4.7300000000000004</v>
      </c>
      <c r="BB746" s="765">
        <v>64.7</v>
      </c>
      <c r="BC746" s="765">
        <v>33.700000000000003</v>
      </c>
      <c r="BD746" s="765">
        <v>99.5</v>
      </c>
      <c r="BE746" s="767">
        <v>0.22157637369929351</v>
      </c>
      <c r="BF746" s="767">
        <v>248.9</v>
      </c>
      <c r="BG746" s="765">
        <v>98.5</v>
      </c>
      <c r="BH746" s="765">
        <v>73.2</v>
      </c>
      <c r="BI746" s="765">
        <v>9080</v>
      </c>
      <c r="BJ746" s="765">
        <v>3.02</v>
      </c>
      <c r="BK746" s="765">
        <v>79.2</v>
      </c>
      <c r="BL746" s="771">
        <v>209</v>
      </c>
    </row>
    <row r="747" spans="35:64" x14ac:dyDescent="0.3">
      <c r="AI747" s="763" t="s">
        <v>1309</v>
      </c>
      <c r="AJ747" s="764">
        <v>2850</v>
      </c>
      <c r="AK747" s="765">
        <v>254</v>
      </c>
      <c r="AL747" s="765">
        <v>5.8</v>
      </c>
      <c r="AM747" s="765">
        <v>102</v>
      </c>
      <c r="AN747" s="765">
        <v>6.9</v>
      </c>
      <c r="AO747" s="767" t="s">
        <v>1310</v>
      </c>
      <c r="AP747" s="767">
        <v>21</v>
      </c>
      <c r="AQ747" s="769">
        <v>15</v>
      </c>
      <c r="AR747" s="770">
        <v>10</v>
      </c>
      <c r="AS747" s="766">
        <v>17</v>
      </c>
      <c r="AT747" s="768">
        <v>25</v>
      </c>
      <c r="AU747" s="767">
        <v>6.07</v>
      </c>
      <c r="AV747" s="768">
        <v>39.4</v>
      </c>
      <c r="AW747" s="765">
        <v>34.200000000000003</v>
      </c>
      <c r="AX747" s="765">
        <v>266</v>
      </c>
      <c r="AY747" s="765">
        <v>106</v>
      </c>
      <c r="AZ747" s="765">
        <v>307</v>
      </c>
      <c r="BA747" s="765">
        <v>3.26</v>
      </c>
      <c r="BB747" s="765">
        <v>44.9</v>
      </c>
      <c r="BC747" s="765">
        <v>32.4</v>
      </c>
      <c r="BD747" s="765">
        <v>69</v>
      </c>
      <c r="BE747" s="767">
        <v>0.2153180402381224</v>
      </c>
      <c r="BF747" s="767">
        <v>246.6</v>
      </c>
      <c r="BG747" s="765">
        <v>39.700000000000003</v>
      </c>
      <c r="BH747" s="765">
        <v>49.5</v>
      </c>
      <c r="BI747" s="765">
        <v>8940</v>
      </c>
      <c r="BJ747" s="765">
        <v>2.0699999999999998</v>
      </c>
      <c r="BK747" s="765">
        <v>55.2</v>
      </c>
      <c r="BL747" s="771">
        <v>150</v>
      </c>
    </row>
    <row r="748" spans="35:64" x14ac:dyDescent="0.3">
      <c r="AI748" s="763" t="s">
        <v>1311</v>
      </c>
      <c r="AJ748" s="764">
        <v>2270</v>
      </c>
      <c r="AK748" s="765">
        <v>251</v>
      </c>
      <c r="AL748" s="765">
        <v>4.8</v>
      </c>
      <c r="AM748" s="765">
        <v>101</v>
      </c>
      <c r="AN748" s="765">
        <v>5.3</v>
      </c>
      <c r="AO748" s="767" t="s">
        <v>1312</v>
      </c>
      <c r="AP748" s="767">
        <v>23</v>
      </c>
      <c r="AQ748" s="769">
        <v>14</v>
      </c>
      <c r="AR748" s="770">
        <v>10</v>
      </c>
      <c r="AS748" s="766">
        <v>15</v>
      </c>
      <c r="AT748" s="768">
        <v>22</v>
      </c>
      <c r="AU748" s="767">
        <v>7.39</v>
      </c>
      <c r="AV748" s="768">
        <v>41.4</v>
      </c>
      <c r="AW748" s="765">
        <v>28.9</v>
      </c>
      <c r="AX748" s="765">
        <v>227</v>
      </c>
      <c r="AY748" s="765">
        <v>105</v>
      </c>
      <c r="AZ748" s="765">
        <v>353</v>
      </c>
      <c r="BA748" s="765">
        <v>1.78</v>
      </c>
      <c r="BB748" s="765">
        <v>34.799999999999997</v>
      </c>
      <c r="BC748" s="765">
        <v>22.1</v>
      </c>
      <c r="BD748" s="765">
        <v>54.7</v>
      </c>
      <c r="BE748" s="767">
        <v>0.15123619946824179</v>
      </c>
      <c r="BF748" s="767">
        <v>250</v>
      </c>
      <c r="BG748" s="765">
        <v>96.7</v>
      </c>
      <c r="BH748" s="765">
        <v>27.7</v>
      </c>
      <c r="BI748" s="765">
        <v>6380</v>
      </c>
      <c r="BJ748" s="765">
        <v>1.63</v>
      </c>
      <c r="BK748" s="765">
        <v>59.8</v>
      </c>
      <c r="BL748" s="771">
        <v>174</v>
      </c>
    </row>
    <row r="749" spans="35:64" x14ac:dyDescent="0.3">
      <c r="AI749" s="763" t="s">
        <v>1313</v>
      </c>
      <c r="AJ749" s="764">
        <v>12700</v>
      </c>
      <c r="AK749" s="765">
        <v>229</v>
      </c>
      <c r="AL749" s="765">
        <v>14.5</v>
      </c>
      <c r="AM749" s="765">
        <v>210</v>
      </c>
      <c r="AN749" s="765">
        <v>23.7</v>
      </c>
      <c r="AO749" s="773" t="s">
        <v>1314</v>
      </c>
      <c r="AP749" s="773">
        <v>21</v>
      </c>
      <c r="AQ749" s="769">
        <v>14</v>
      </c>
      <c r="AR749" s="770">
        <v>10</v>
      </c>
      <c r="AS749" s="766">
        <v>12</v>
      </c>
      <c r="AT749" s="768">
        <v>18</v>
      </c>
      <c r="AU749" s="767">
        <v>9.5299999999999994</v>
      </c>
      <c r="AV749" s="768">
        <v>50.1</v>
      </c>
      <c r="AW749" s="765">
        <v>22.4</v>
      </c>
      <c r="AX749" s="765">
        <v>179</v>
      </c>
      <c r="AY749" s="765">
        <v>103</v>
      </c>
      <c r="AZ749" s="765">
        <v>307</v>
      </c>
      <c r="BA749" s="765">
        <v>1.49</v>
      </c>
      <c r="BB749" s="765">
        <v>29.2</v>
      </c>
      <c r="BC749" s="765">
        <v>21.5</v>
      </c>
      <c r="BD749" s="765">
        <v>46.2</v>
      </c>
      <c r="BE749" s="767">
        <v>0.14835005367690959</v>
      </c>
      <c r="BF749" s="767">
        <v>248.6</v>
      </c>
      <c r="BG749" s="765">
        <v>65.2</v>
      </c>
      <c r="BH749" s="765">
        <v>23</v>
      </c>
      <c r="BI749" s="765">
        <v>6340</v>
      </c>
      <c r="BJ749" s="765">
        <v>1.36</v>
      </c>
      <c r="BK749" s="765">
        <v>50.1</v>
      </c>
      <c r="BL749" s="771">
        <v>150</v>
      </c>
    </row>
    <row r="750" spans="35:64" x14ac:dyDescent="0.3">
      <c r="AI750" s="763" t="s">
        <v>1315</v>
      </c>
      <c r="AJ750" s="764">
        <v>11000</v>
      </c>
      <c r="AK750" s="765">
        <v>222</v>
      </c>
      <c r="AL750" s="765">
        <v>13</v>
      </c>
      <c r="AM750" s="765">
        <v>209</v>
      </c>
      <c r="AN750" s="765">
        <v>20.6</v>
      </c>
      <c r="AO750" s="773" t="s">
        <v>1316</v>
      </c>
      <c r="AP750" s="773">
        <v>20</v>
      </c>
      <c r="AQ750" s="769">
        <v>14</v>
      </c>
      <c r="AR750" s="770">
        <v>10</v>
      </c>
      <c r="AS750" s="766">
        <v>67</v>
      </c>
      <c r="AT750" s="768">
        <v>100</v>
      </c>
      <c r="AU750" s="767">
        <v>4.43</v>
      </c>
      <c r="AV750" s="768">
        <v>12.5</v>
      </c>
      <c r="AW750" s="765">
        <v>113</v>
      </c>
      <c r="AX750" s="765">
        <v>989</v>
      </c>
      <c r="AY750" s="765">
        <v>101</v>
      </c>
      <c r="AZ750" s="765">
        <v>263</v>
      </c>
      <c r="BA750" s="765">
        <v>1.23</v>
      </c>
      <c r="BB750" s="765">
        <v>24</v>
      </c>
      <c r="BC750" s="765">
        <v>20.7</v>
      </c>
      <c r="BD750" s="765">
        <v>38.1</v>
      </c>
      <c r="BE750" s="767">
        <v>0.145352916701982</v>
      </c>
      <c r="BF750" s="767">
        <v>247.1</v>
      </c>
      <c r="BG750" s="765">
        <v>43.4</v>
      </c>
      <c r="BH750" s="765">
        <v>18.7</v>
      </c>
      <c r="BI750" s="765">
        <v>6300</v>
      </c>
      <c r="BJ750" s="765">
        <v>1.1100000000000001</v>
      </c>
      <c r="BK750" s="765">
        <v>41</v>
      </c>
      <c r="BL750" s="771">
        <v>129</v>
      </c>
    </row>
    <row r="751" spans="35:64" x14ac:dyDescent="0.3">
      <c r="AI751" s="763" t="s">
        <v>1317</v>
      </c>
      <c r="AJ751" s="764">
        <v>9100</v>
      </c>
      <c r="AK751" s="765">
        <v>216</v>
      </c>
      <c r="AL751" s="765">
        <v>10.199999999999999</v>
      </c>
      <c r="AM751" s="765">
        <v>206</v>
      </c>
      <c r="AN751" s="765">
        <v>17.399999999999999</v>
      </c>
      <c r="AO751" s="773" t="s">
        <v>1318</v>
      </c>
      <c r="AP751" s="773">
        <v>18</v>
      </c>
      <c r="AQ751" s="769">
        <v>14</v>
      </c>
      <c r="AR751" s="770">
        <v>10</v>
      </c>
      <c r="AS751" s="766">
        <v>58</v>
      </c>
      <c r="AT751" s="768">
        <v>86</v>
      </c>
      <c r="AU751" s="767">
        <v>5.07</v>
      </c>
      <c r="AV751" s="768">
        <v>13.9</v>
      </c>
      <c r="AW751" s="765">
        <v>94.7</v>
      </c>
      <c r="AX751" s="765">
        <v>853</v>
      </c>
      <c r="AY751" s="765">
        <v>99.3</v>
      </c>
      <c r="AZ751" s="765">
        <v>207</v>
      </c>
      <c r="BA751" s="765">
        <v>0.91300000000000003</v>
      </c>
      <c r="BB751" s="765">
        <v>18.100000000000001</v>
      </c>
      <c r="BC751" s="765">
        <v>20</v>
      </c>
      <c r="BD751" s="765">
        <v>28.6</v>
      </c>
      <c r="BE751" s="767">
        <v>0.14081890096259669</v>
      </c>
      <c r="BF751" s="767">
        <v>245.7</v>
      </c>
      <c r="BG751" s="765">
        <v>22.4</v>
      </c>
      <c r="BH751" s="765">
        <v>13.8</v>
      </c>
      <c r="BI751" s="765">
        <v>6200</v>
      </c>
      <c r="BJ751" s="765">
        <v>0.83</v>
      </c>
      <c r="BK751" s="765">
        <v>31.3</v>
      </c>
      <c r="BL751" s="771">
        <v>100</v>
      </c>
    </row>
    <row r="752" spans="35:64" x14ac:dyDescent="0.3">
      <c r="AI752" s="763" t="s">
        <v>1319</v>
      </c>
      <c r="AJ752" s="764">
        <v>7560</v>
      </c>
      <c r="AK752" s="765">
        <v>210</v>
      </c>
      <c r="AL752" s="765">
        <v>9.1</v>
      </c>
      <c r="AM752" s="765">
        <v>205</v>
      </c>
      <c r="AN752" s="765">
        <v>14.2</v>
      </c>
      <c r="AO752" s="773" t="s">
        <v>1320</v>
      </c>
      <c r="AP752" s="773">
        <v>40</v>
      </c>
      <c r="AQ752" s="769">
        <v>22</v>
      </c>
      <c r="AR752" s="770">
        <v>8</v>
      </c>
      <c r="AS752" s="766">
        <v>48</v>
      </c>
      <c r="AT752" s="768">
        <v>71</v>
      </c>
      <c r="AU752" s="767">
        <v>5.92</v>
      </c>
      <c r="AV752" s="768">
        <v>17.8</v>
      </c>
      <c r="AW752" s="765">
        <v>76.599999999999994</v>
      </c>
      <c r="AX752" s="765">
        <v>709</v>
      </c>
      <c r="AY752" s="765">
        <v>94.5</v>
      </c>
      <c r="AZ752" s="765">
        <v>1150</v>
      </c>
      <c r="BA752" s="765">
        <v>36.6</v>
      </c>
      <c r="BB752" s="765">
        <v>349</v>
      </c>
      <c r="BC752" s="765">
        <v>53.8</v>
      </c>
      <c r="BD752" s="765">
        <v>533</v>
      </c>
      <c r="BE752" s="767">
        <v>0.34667214826279469</v>
      </c>
      <c r="BF752" s="767">
        <v>205.3</v>
      </c>
      <c r="BG752" s="765">
        <v>2090</v>
      </c>
      <c r="BH752" s="765">
        <v>386</v>
      </c>
      <c r="BI752" s="765">
        <v>10800</v>
      </c>
      <c r="BJ752" s="765">
        <v>13.4</v>
      </c>
      <c r="BK752" s="765">
        <v>238</v>
      </c>
      <c r="BL752" s="771">
        <v>571</v>
      </c>
    </row>
    <row r="753" spans="35:64" x14ac:dyDescent="0.3">
      <c r="AI753" s="763" t="s">
        <v>1321</v>
      </c>
      <c r="AJ753" s="764">
        <v>6650</v>
      </c>
      <c r="AK753" s="765">
        <v>206</v>
      </c>
      <c r="AL753" s="765">
        <v>7.9</v>
      </c>
      <c r="AM753" s="765">
        <v>204</v>
      </c>
      <c r="AN753" s="765">
        <v>12.6</v>
      </c>
      <c r="AO753" s="773" t="s">
        <v>1322</v>
      </c>
      <c r="AP753" s="773">
        <v>37</v>
      </c>
      <c r="AQ753" s="769">
        <v>22</v>
      </c>
      <c r="AR753" s="770">
        <v>8</v>
      </c>
      <c r="AS753" s="766">
        <v>40</v>
      </c>
      <c r="AT753" s="768">
        <v>59</v>
      </c>
      <c r="AU753" s="767">
        <v>7.22</v>
      </c>
      <c r="AV753" s="768">
        <v>20</v>
      </c>
      <c r="AW753" s="765">
        <v>61.1</v>
      </c>
      <c r="AX753" s="765">
        <v>582</v>
      </c>
      <c r="AY753" s="765">
        <v>92.6</v>
      </c>
      <c r="AZ753" s="765">
        <v>981</v>
      </c>
      <c r="BA753" s="765">
        <v>31.4</v>
      </c>
      <c r="BB753" s="765">
        <v>300</v>
      </c>
      <c r="BC753" s="765">
        <v>53.3</v>
      </c>
      <c r="BD753" s="765">
        <v>458</v>
      </c>
      <c r="BE753" s="767">
        <v>0.34226672274056769</v>
      </c>
      <c r="BF753" s="767">
        <v>201.4</v>
      </c>
      <c r="BG753" s="765">
        <v>1390</v>
      </c>
      <c r="BH753" s="765">
        <v>318</v>
      </c>
      <c r="BI753" s="765">
        <v>10500</v>
      </c>
      <c r="BJ753" s="765">
        <v>11.3</v>
      </c>
      <c r="BK753" s="765">
        <v>203</v>
      </c>
      <c r="BL753" s="771">
        <v>487</v>
      </c>
    </row>
    <row r="754" spans="35:64" x14ac:dyDescent="0.3">
      <c r="AI754" s="763" t="s">
        <v>1323</v>
      </c>
      <c r="AJ754" s="764">
        <v>5860</v>
      </c>
      <c r="AK754" s="765">
        <v>203</v>
      </c>
      <c r="AL754" s="765">
        <v>7.2</v>
      </c>
      <c r="AM754" s="765">
        <v>203</v>
      </c>
      <c r="AN754" s="765">
        <v>11</v>
      </c>
      <c r="AO754" s="773" t="s">
        <v>1324</v>
      </c>
      <c r="AP754" s="773">
        <v>34</v>
      </c>
      <c r="AQ754" s="769">
        <v>20</v>
      </c>
      <c r="AR754" s="770">
        <v>8</v>
      </c>
      <c r="AS754" s="766">
        <v>35</v>
      </c>
      <c r="AT754" s="768">
        <v>52</v>
      </c>
      <c r="AU754" s="767">
        <v>8.1</v>
      </c>
      <c r="AV754" s="768">
        <v>22.9</v>
      </c>
      <c r="AW754" s="765">
        <v>52.7</v>
      </c>
      <c r="AX754" s="765">
        <v>512</v>
      </c>
      <c r="AY754" s="765">
        <v>91.7</v>
      </c>
      <c r="AZ754" s="765">
        <v>803</v>
      </c>
      <c r="BA754" s="765">
        <v>25.4</v>
      </c>
      <c r="BB754" s="765">
        <v>246</v>
      </c>
      <c r="BC754" s="765">
        <v>52.8</v>
      </c>
      <c r="BD754" s="765">
        <v>375</v>
      </c>
      <c r="BE754" s="767">
        <v>0.33525117891740419</v>
      </c>
      <c r="BF754" s="767">
        <v>198.6</v>
      </c>
      <c r="BG754" s="765">
        <v>817</v>
      </c>
      <c r="BH754" s="765">
        <v>250</v>
      </c>
      <c r="BI754" s="765">
        <v>10200</v>
      </c>
      <c r="BJ754" s="765">
        <v>9.17</v>
      </c>
      <c r="BK754" s="765">
        <v>169</v>
      </c>
      <c r="BL754" s="771">
        <v>398</v>
      </c>
    </row>
    <row r="755" spans="35:64" x14ac:dyDescent="0.3">
      <c r="AI755" s="763" t="s">
        <v>1325</v>
      </c>
      <c r="AJ755" s="764">
        <v>5310</v>
      </c>
      <c r="AK755" s="765">
        <v>205</v>
      </c>
      <c r="AL755" s="765">
        <v>7.2</v>
      </c>
      <c r="AM755" s="765">
        <v>166</v>
      </c>
      <c r="AN755" s="765">
        <v>11.8</v>
      </c>
      <c r="AO755" s="773" t="s">
        <v>1326</v>
      </c>
      <c r="AP755" s="773">
        <v>31</v>
      </c>
      <c r="AQ755" s="769">
        <v>20</v>
      </c>
      <c r="AR755" s="770">
        <v>8</v>
      </c>
      <c r="AS755" s="766">
        <v>31</v>
      </c>
      <c r="AT755" s="768">
        <v>46</v>
      </c>
      <c r="AU755" s="767">
        <v>9.23</v>
      </c>
      <c r="AV755" s="768">
        <v>25.1</v>
      </c>
      <c r="AW755" s="765">
        <v>45.4</v>
      </c>
      <c r="AX755" s="765">
        <v>448</v>
      </c>
      <c r="AY755" s="765">
        <v>89.9</v>
      </c>
      <c r="AZ755" s="765">
        <v>653</v>
      </c>
      <c r="BA755" s="765">
        <v>20.399999999999999</v>
      </c>
      <c r="BB755" s="765">
        <v>199</v>
      </c>
      <c r="BC755" s="765">
        <v>52</v>
      </c>
      <c r="BD755" s="765">
        <v>303</v>
      </c>
      <c r="BE755" s="767">
        <v>0.32961735294136679</v>
      </c>
      <c r="BF755" s="767">
        <v>195.8</v>
      </c>
      <c r="BG755" s="765">
        <v>463</v>
      </c>
      <c r="BH755" s="765">
        <v>196</v>
      </c>
      <c r="BI755" s="765">
        <v>10000</v>
      </c>
      <c r="BJ755" s="765">
        <v>7.3</v>
      </c>
      <c r="BK755" s="765">
        <v>136</v>
      </c>
      <c r="BL755" s="771">
        <v>323</v>
      </c>
    </row>
    <row r="756" spans="35:64" x14ac:dyDescent="0.3">
      <c r="AI756" s="763" t="s">
        <v>1327</v>
      </c>
      <c r="AJ756" s="764">
        <v>4570</v>
      </c>
      <c r="AK756" s="765">
        <v>201</v>
      </c>
      <c r="AL756" s="765">
        <v>6.2</v>
      </c>
      <c r="AM756" s="765">
        <v>165</v>
      </c>
      <c r="AN756" s="765">
        <v>10.199999999999999</v>
      </c>
      <c r="AO756" s="773" t="s">
        <v>1328</v>
      </c>
      <c r="AP756" s="773">
        <v>29</v>
      </c>
      <c r="AQ756" s="769">
        <v>19</v>
      </c>
      <c r="AR756" s="770">
        <v>8</v>
      </c>
      <c r="AS756" s="766">
        <v>28</v>
      </c>
      <c r="AT756" s="768">
        <v>42</v>
      </c>
      <c r="AU756" s="767">
        <v>7.03</v>
      </c>
      <c r="AV756" s="768">
        <v>25.2</v>
      </c>
      <c r="AW756" s="765">
        <v>40.9</v>
      </c>
      <c r="AX756" s="765">
        <v>399</v>
      </c>
      <c r="AY756" s="765">
        <v>89</v>
      </c>
      <c r="AZ756" s="765">
        <v>569</v>
      </c>
      <c r="BA756" s="765">
        <v>17.8</v>
      </c>
      <c r="BB756" s="765">
        <v>175</v>
      </c>
      <c r="BC756" s="765">
        <v>51.8</v>
      </c>
      <c r="BD756" s="765">
        <v>266</v>
      </c>
      <c r="BE756" s="767">
        <v>0.32632409171355481</v>
      </c>
      <c r="BF756" s="767">
        <v>193.4</v>
      </c>
      <c r="BG756" s="765">
        <v>323</v>
      </c>
      <c r="BH756" s="765">
        <v>167</v>
      </c>
      <c r="BI756" s="765">
        <v>9860</v>
      </c>
      <c r="BJ756" s="765">
        <v>6.34</v>
      </c>
      <c r="BK756" s="765">
        <v>119</v>
      </c>
      <c r="BL756" s="771">
        <v>281</v>
      </c>
    </row>
    <row r="757" spans="35:64" x14ac:dyDescent="0.3">
      <c r="AI757" s="763" t="s">
        <v>1329</v>
      </c>
      <c r="AJ757" s="764">
        <v>4000</v>
      </c>
      <c r="AK757" s="765">
        <v>210</v>
      </c>
      <c r="AL757" s="765">
        <v>6.4</v>
      </c>
      <c r="AM757" s="765">
        <v>134</v>
      </c>
      <c r="AN757" s="765">
        <v>10.199999999999999</v>
      </c>
      <c r="AO757" s="773" t="s">
        <v>1330</v>
      </c>
      <c r="AP757" s="773">
        <v>28</v>
      </c>
      <c r="AQ757" s="772">
        <v>19</v>
      </c>
      <c r="AR757" s="770">
        <v>8</v>
      </c>
      <c r="AS757" s="766">
        <v>24</v>
      </c>
      <c r="AT757" s="768">
        <v>36</v>
      </c>
      <c r="AU757" s="767">
        <v>8.09</v>
      </c>
      <c r="AV757" s="768">
        <v>29.1</v>
      </c>
      <c r="AW757" s="765">
        <v>34.4</v>
      </c>
      <c r="AX757" s="765">
        <v>342</v>
      </c>
      <c r="AY757" s="765">
        <v>88.1</v>
      </c>
      <c r="AZ757" s="765">
        <v>495</v>
      </c>
      <c r="BA757" s="765">
        <v>15.3</v>
      </c>
      <c r="BB757" s="765">
        <v>151</v>
      </c>
      <c r="BC757" s="765">
        <v>51.2</v>
      </c>
      <c r="BD757" s="765">
        <v>229</v>
      </c>
      <c r="BE757" s="767">
        <v>0.32198721586343543</v>
      </c>
      <c r="BF757" s="767">
        <v>192</v>
      </c>
      <c r="BG757" s="765">
        <v>220</v>
      </c>
      <c r="BH757" s="765">
        <v>141</v>
      </c>
      <c r="BI757" s="765">
        <v>9740</v>
      </c>
      <c r="BJ757" s="765">
        <v>5.44</v>
      </c>
      <c r="BK757" s="765">
        <v>103</v>
      </c>
      <c r="BL757" s="771">
        <v>244</v>
      </c>
    </row>
    <row r="758" spans="35:64" x14ac:dyDescent="0.3">
      <c r="AI758" s="763" t="s">
        <v>1331</v>
      </c>
      <c r="AJ758" s="764">
        <v>3390</v>
      </c>
      <c r="AK758" s="765">
        <v>207</v>
      </c>
      <c r="AL758" s="765">
        <v>5.8</v>
      </c>
      <c r="AM758" s="765">
        <v>133</v>
      </c>
      <c r="AN758" s="765">
        <v>8.4</v>
      </c>
      <c r="AO758" s="773" t="s">
        <v>1332</v>
      </c>
      <c r="AP758" s="773">
        <v>24</v>
      </c>
      <c r="AQ758" s="769">
        <v>15</v>
      </c>
      <c r="AR758" s="770">
        <v>8</v>
      </c>
      <c r="AS758" s="766">
        <v>21</v>
      </c>
      <c r="AT758" s="768">
        <v>31</v>
      </c>
      <c r="AU758" s="767">
        <v>6.57</v>
      </c>
      <c r="AV758" s="768">
        <v>29.6</v>
      </c>
      <c r="AW758" s="765">
        <v>31.4</v>
      </c>
      <c r="AX758" s="765">
        <v>299</v>
      </c>
      <c r="AY758" s="765">
        <v>87.7</v>
      </c>
      <c r="AZ758" s="765">
        <v>445</v>
      </c>
      <c r="BA758" s="765">
        <v>9</v>
      </c>
      <c r="BB758" s="765">
        <v>108</v>
      </c>
      <c r="BC758" s="765">
        <v>41.2</v>
      </c>
      <c r="BD758" s="765">
        <v>165</v>
      </c>
      <c r="BE758" s="767">
        <v>0.26250888119471849</v>
      </c>
      <c r="BF758" s="767">
        <v>193.2</v>
      </c>
      <c r="BG758" s="765">
        <v>222</v>
      </c>
      <c r="BH758" s="765">
        <v>84</v>
      </c>
      <c r="BI758" s="765">
        <v>8020</v>
      </c>
      <c r="BJ758" s="765">
        <v>3.93</v>
      </c>
      <c r="BK758" s="765">
        <v>90.5</v>
      </c>
      <c r="BL758" s="771">
        <v>219</v>
      </c>
    </row>
    <row r="759" spans="35:64" x14ac:dyDescent="0.3">
      <c r="AI759" s="763" t="s">
        <v>1333</v>
      </c>
      <c r="AJ759" s="764">
        <v>2700</v>
      </c>
      <c r="AK759" s="765">
        <v>203</v>
      </c>
      <c r="AL759" s="765">
        <v>5</v>
      </c>
      <c r="AM759" s="765">
        <v>133</v>
      </c>
      <c r="AN759" s="765">
        <v>6.4</v>
      </c>
      <c r="AO759" s="773" t="s">
        <v>1334</v>
      </c>
      <c r="AP759" s="773">
        <v>23</v>
      </c>
      <c r="AQ759" s="769">
        <v>14</v>
      </c>
      <c r="AR759" s="770">
        <v>8</v>
      </c>
      <c r="AS759" s="766">
        <v>18</v>
      </c>
      <c r="AT759" s="768">
        <v>27</v>
      </c>
      <c r="AU759" s="768">
        <v>7.92</v>
      </c>
      <c r="AV759" s="768">
        <v>32.799999999999997</v>
      </c>
      <c r="AW759" s="765">
        <v>25.8</v>
      </c>
      <c r="AX759" s="765">
        <v>249</v>
      </c>
      <c r="AY759" s="765">
        <v>86.7</v>
      </c>
      <c r="AZ759" s="765">
        <v>379</v>
      </c>
      <c r="BA759" s="765">
        <v>7.64</v>
      </c>
      <c r="BB759" s="765">
        <v>92.6</v>
      </c>
      <c r="BC759" s="765">
        <v>40.9</v>
      </c>
      <c r="BD759" s="765">
        <v>141</v>
      </c>
      <c r="BE759" s="767">
        <v>0.25966451037191363</v>
      </c>
      <c r="BF759" s="767">
        <v>190.8</v>
      </c>
      <c r="BG759" s="765">
        <v>145</v>
      </c>
      <c r="BH759" s="765">
        <v>69.599999999999994</v>
      </c>
      <c r="BI759" s="765">
        <v>7870</v>
      </c>
      <c r="BJ759" s="765">
        <v>3.31</v>
      </c>
      <c r="BK759" s="765">
        <v>77.3</v>
      </c>
      <c r="BL759" s="771">
        <v>186</v>
      </c>
    </row>
    <row r="760" spans="35:64" x14ac:dyDescent="0.3">
      <c r="AI760" s="763" t="s">
        <v>1335</v>
      </c>
      <c r="AJ760" s="764">
        <v>2860</v>
      </c>
      <c r="AK760" s="765">
        <v>206</v>
      </c>
      <c r="AL760" s="765">
        <v>6.2</v>
      </c>
      <c r="AM760" s="765">
        <v>102</v>
      </c>
      <c r="AN760" s="765">
        <v>8</v>
      </c>
      <c r="AO760" s="773" t="s">
        <v>1336</v>
      </c>
      <c r="AP760" s="773">
        <v>22</v>
      </c>
      <c r="AQ760" s="769">
        <v>13</v>
      </c>
      <c r="AR760" s="770">
        <v>8</v>
      </c>
      <c r="AS760" s="766">
        <v>14</v>
      </c>
      <c r="AT760" s="768">
        <v>21</v>
      </c>
      <c r="AU760" s="767">
        <v>10.4</v>
      </c>
      <c r="AV760" s="768">
        <v>38</v>
      </c>
      <c r="AW760" s="765">
        <v>19.8</v>
      </c>
      <c r="AX760" s="765">
        <v>195</v>
      </c>
      <c r="AY760" s="765">
        <v>88.6</v>
      </c>
      <c r="AZ760" s="765">
        <v>335</v>
      </c>
      <c r="BA760" s="765">
        <v>4.0999999999999996</v>
      </c>
      <c r="BB760" s="765">
        <v>61.1</v>
      </c>
      <c r="BC760" s="765">
        <v>32</v>
      </c>
      <c r="BD760" s="765">
        <v>93.8</v>
      </c>
      <c r="BE760" s="767">
        <v>0.20810916036342461</v>
      </c>
      <c r="BF760" s="767">
        <v>199.8</v>
      </c>
      <c r="BG760" s="765">
        <v>119</v>
      </c>
      <c r="BH760" s="765">
        <v>40.9</v>
      </c>
      <c r="BI760" s="765">
        <v>6690</v>
      </c>
      <c r="BJ760" s="765">
        <v>2.29</v>
      </c>
      <c r="BK760" s="765">
        <v>65</v>
      </c>
      <c r="BL760" s="771">
        <v>165</v>
      </c>
    </row>
    <row r="761" spans="35:64" x14ac:dyDescent="0.3">
      <c r="AI761" s="763" t="s">
        <v>1337</v>
      </c>
      <c r="AJ761" s="764">
        <v>2480</v>
      </c>
      <c r="AK761" s="765">
        <v>203</v>
      </c>
      <c r="AL761" s="765">
        <v>5.8</v>
      </c>
      <c r="AM761" s="765">
        <v>102</v>
      </c>
      <c r="AN761" s="765">
        <v>6.5</v>
      </c>
      <c r="AO761" s="773" t="s">
        <v>1338</v>
      </c>
      <c r="AP761" s="773">
        <v>20</v>
      </c>
      <c r="AQ761" s="769">
        <v>13</v>
      </c>
      <c r="AR761" s="770">
        <v>8</v>
      </c>
      <c r="AS761" s="766">
        <v>15</v>
      </c>
      <c r="AT761" s="768">
        <v>22</v>
      </c>
      <c r="AU761" s="767">
        <v>6.38</v>
      </c>
      <c r="AV761" s="768">
        <v>30.6</v>
      </c>
      <c r="AW761" s="765">
        <v>20</v>
      </c>
      <c r="AX761" s="765">
        <v>194</v>
      </c>
      <c r="AY761" s="765">
        <v>87.3</v>
      </c>
      <c r="AZ761" s="765">
        <v>279</v>
      </c>
      <c r="BA761" s="765">
        <v>3.3</v>
      </c>
      <c r="BB761" s="765">
        <v>49.6</v>
      </c>
      <c r="BC761" s="765">
        <v>31.2</v>
      </c>
      <c r="BD761" s="765">
        <v>76.099999999999994</v>
      </c>
      <c r="BE761" s="767">
        <v>0.20393870238810219</v>
      </c>
      <c r="BF761" s="767">
        <v>198.6</v>
      </c>
      <c r="BG761" s="765">
        <v>71.3</v>
      </c>
      <c r="BH761" s="765">
        <v>32.5</v>
      </c>
      <c r="BI761" s="765">
        <v>6600</v>
      </c>
      <c r="BJ761" s="765">
        <v>1.84</v>
      </c>
      <c r="BK761" s="765">
        <v>53.1</v>
      </c>
      <c r="BL761" s="771">
        <v>137</v>
      </c>
    </row>
    <row r="762" spans="35:64" x14ac:dyDescent="0.3">
      <c r="AI762" s="763" t="s">
        <v>1339</v>
      </c>
      <c r="AJ762" s="764">
        <v>1900</v>
      </c>
      <c r="AK762" s="765">
        <v>200</v>
      </c>
      <c r="AL762" s="765">
        <v>4.3</v>
      </c>
      <c r="AM762" s="765">
        <v>100</v>
      </c>
      <c r="AN762" s="765">
        <v>5.2</v>
      </c>
      <c r="AO762" s="773" t="s">
        <v>1340</v>
      </c>
      <c r="AP762" s="773">
        <v>18</v>
      </c>
      <c r="AQ762" s="769">
        <v>13</v>
      </c>
      <c r="AR762" s="770">
        <v>8</v>
      </c>
      <c r="AS762" s="766">
        <v>13</v>
      </c>
      <c r="AT762" s="767">
        <v>19</v>
      </c>
      <c r="AU762" s="767">
        <v>7.85</v>
      </c>
      <c r="AV762" s="768">
        <v>32.799999999999997</v>
      </c>
      <c r="AW762" s="765">
        <v>16.600000000000001</v>
      </c>
      <c r="AX762" s="765">
        <v>163</v>
      </c>
      <c r="AY762" s="765">
        <v>85.5</v>
      </c>
      <c r="AZ762" s="765">
        <v>217</v>
      </c>
      <c r="BA762" s="765">
        <v>2.5099999999999998</v>
      </c>
      <c r="BB762" s="765">
        <v>37.799999999999997</v>
      </c>
      <c r="BC762" s="765">
        <v>30.5</v>
      </c>
      <c r="BD762" s="765">
        <v>58</v>
      </c>
      <c r="BE762" s="767">
        <v>0.20012562124018299</v>
      </c>
      <c r="BF762" s="767">
        <v>196.6</v>
      </c>
      <c r="BG762" s="765">
        <v>35.6</v>
      </c>
      <c r="BH762" s="765">
        <v>24.3</v>
      </c>
      <c r="BI762" s="765">
        <v>6540</v>
      </c>
      <c r="BJ762" s="765">
        <v>1.39</v>
      </c>
      <c r="BK762" s="765">
        <v>40.299999999999997</v>
      </c>
      <c r="BL762" s="771">
        <v>106</v>
      </c>
    </row>
    <row r="763" spans="35:64" x14ac:dyDescent="0.3">
      <c r="AI763" s="763" t="s">
        <v>1341</v>
      </c>
      <c r="AJ763" s="764">
        <v>4750</v>
      </c>
      <c r="AK763" s="765">
        <v>162</v>
      </c>
      <c r="AL763" s="765">
        <v>8.1</v>
      </c>
      <c r="AM763" s="765">
        <v>154</v>
      </c>
      <c r="AN763" s="765">
        <v>11.6</v>
      </c>
      <c r="AO763" s="773" t="s">
        <v>1342</v>
      </c>
      <c r="AP763" s="773">
        <v>20</v>
      </c>
      <c r="AQ763" s="769">
        <v>13</v>
      </c>
      <c r="AR763" s="770">
        <v>8</v>
      </c>
      <c r="AS763" s="766">
        <v>10</v>
      </c>
      <c r="AT763" s="767">
        <v>15</v>
      </c>
      <c r="AU763" s="768">
        <v>9.6199999999999992</v>
      </c>
      <c r="AV763" s="768">
        <v>44.1</v>
      </c>
      <c r="AW763" s="765">
        <v>12.7</v>
      </c>
      <c r="AX763" s="765">
        <v>127</v>
      </c>
      <c r="AY763" s="765">
        <v>83.6</v>
      </c>
      <c r="AZ763" s="765">
        <v>222</v>
      </c>
      <c r="BA763" s="765">
        <v>1.42</v>
      </c>
      <c r="BB763" s="765">
        <v>27.8</v>
      </c>
      <c r="BC763" s="765">
        <v>22.3</v>
      </c>
      <c r="BD763" s="765">
        <v>43.7</v>
      </c>
      <c r="BE763" s="767">
        <v>0.15132996136379009</v>
      </c>
      <c r="BF763" s="767">
        <v>198</v>
      </c>
      <c r="BG763" s="765">
        <v>56.6</v>
      </c>
      <c r="BH763" s="765">
        <v>13.9</v>
      </c>
      <c r="BI763" s="765">
        <v>5050</v>
      </c>
      <c r="BJ763" s="765">
        <v>1.03</v>
      </c>
      <c r="BK763" s="765">
        <v>37.9</v>
      </c>
      <c r="BL763" s="771">
        <v>109</v>
      </c>
    </row>
    <row r="764" spans="35:64" x14ac:dyDescent="0.3">
      <c r="AI764" s="763" t="s">
        <v>1343</v>
      </c>
      <c r="AJ764" s="764">
        <v>3810</v>
      </c>
      <c r="AK764" s="765">
        <v>157</v>
      </c>
      <c r="AL764" s="765">
        <v>6.6</v>
      </c>
      <c r="AM764" s="765">
        <v>153</v>
      </c>
      <c r="AN764" s="765">
        <v>9.3000000000000007</v>
      </c>
      <c r="AO764" s="773" t="s">
        <v>1344</v>
      </c>
      <c r="AP764" s="773">
        <v>18</v>
      </c>
      <c r="AQ764" s="769">
        <v>13</v>
      </c>
      <c r="AR764" s="770">
        <v>8</v>
      </c>
      <c r="AS764" s="766">
        <v>25</v>
      </c>
      <c r="AT764" s="768">
        <v>37</v>
      </c>
      <c r="AU764" s="767">
        <v>6.64</v>
      </c>
      <c r="AV764" s="768">
        <v>17.100000000000001</v>
      </c>
      <c r="AW764" s="765">
        <v>22.3</v>
      </c>
      <c r="AX764" s="765">
        <v>275</v>
      </c>
      <c r="AY764" s="765">
        <v>81.7</v>
      </c>
      <c r="AZ764" s="765">
        <v>187</v>
      </c>
      <c r="BA764" s="765">
        <v>1.1499999999999999</v>
      </c>
      <c r="BB764" s="765">
        <v>22.6</v>
      </c>
      <c r="BC764" s="765">
        <v>21.6</v>
      </c>
      <c r="BD764" s="765">
        <v>35.6</v>
      </c>
      <c r="BE764" s="767">
        <v>0.1480510195801146</v>
      </c>
      <c r="BF764" s="767">
        <v>196.5</v>
      </c>
      <c r="BG764" s="765">
        <v>36.200000000000003</v>
      </c>
      <c r="BH764" s="765">
        <v>11.1</v>
      </c>
      <c r="BI764" s="765">
        <v>5010</v>
      </c>
      <c r="BJ764" s="765">
        <v>0.83099999999999996</v>
      </c>
      <c r="BK764" s="765">
        <v>30.7</v>
      </c>
      <c r="BL764" s="771">
        <v>91.3</v>
      </c>
    </row>
    <row r="765" spans="35:64" x14ac:dyDescent="0.3">
      <c r="AI765" s="775" t="s">
        <v>1345</v>
      </c>
      <c r="AJ765" s="776">
        <v>2860</v>
      </c>
      <c r="AK765" s="777">
        <v>152</v>
      </c>
      <c r="AL765" s="777">
        <v>5.8</v>
      </c>
      <c r="AM765" s="777">
        <v>152</v>
      </c>
      <c r="AN765" s="777">
        <v>6.6</v>
      </c>
      <c r="AO765" s="773" t="s">
        <v>1346</v>
      </c>
      <c r="AP765" s="773">
        <v>17</v>
      </c>
      <c r="AQ765" s="769">
        <v>12</v>
      </c>
      <c r="AR765" s="770">
        <v>8</v>
      </c>
      <c r="AS765" s="766">
        <v>20</v>
      </c>
      <c r="AT765" s="768">
        <v>30</v>
      </c>
      <c r="AU765" s="767">
        <v>8.23</v>
      </c>
      <c r="AV765" s="768">
        <v>21</v>
      </c>
      <c r="AW765" s="765">
        <v>17.2</v>
      </c>
      <c r="AX765" s="765">
        <v>219</v>
      </c>
      <c r="AY765" s="765">
        <v>81.8</v>
      </c>
      <c r="AZ765" s="765">
        <v>145</v>
      </c>
      <c r="BA765" s="765">
        <v>0.86899999999999999</v>
      </c>
      <c r="BB765" s="765">
        <v>17.399999999999999</v>
      </c>
      <c r="BC765" s="765">
        <v>21.4</v>
      </c>
      <c r="BD765" s="765">
        <v>27.1</v>
      </c>
      <c r="BE765" s="767">
        <v>0.14515596474731579</v>
      </c>
      <c r="BF765" s="767">
        <v>194.8</v>
      </c>
      <c r="BG765" s="765">
        <v>17.600000000000001</v>
      </c>
      <c r="BH765" s="765">
        <v>8.24</v>
      </c>
      <c r="BI765" s="765">
        <v>4870</v>
      </c>
      <c r="BJ765" s="765">
        <v>0.63300000000000001</v>
      </c>
      <c r="BK765" s="765">
        <v>24.2</v>
      </c>
      <c r="BL765" s="771">
        <v>70</v>
      </c>
    </row>
    <row r="766" spans="35:64" x14ac:dyDescent="0.3">
      <c r="AI766" s="9" t="s">
        <v>1347</v>
      </c>
      <c r="AJ766" s="10">
        <v>3060</v>
      </c>
      <c r="AK766" s="11">
        <v>160</v>
      </c>
      <c r="AL766" s="11">
        <v>6.6</v>
      </c>
      <c r="AM766" s="11">
        <v>102</v>
      </c>
      <c r="AN766" s="11">
        <v>10.3</v>
      </c>
      <c r="AO766" s="773" t="s">
        <v>1348</v>
      </c>
      <c r="AP766" s="773">
        <v>23</v>
      </c>
      <c r="AQ766" s="769">
        <v>14</v>
      </c>
      <c r="AR766" s="770">
        <v>6</v>
      </c>
      <c r="AS766" s="778">
        <v>15</v>
      </c>
      <c r="AT766" s="779">
        <v>22</v>
      </c>
      <c r="AU766" s="780">
        <v>11.5</v>
      </c>
      <c r="AV766" s="779">
        <v>23.9</v>
      </c>
      <c r="AW766" s="777">
        <v>12.1</v>
      </c>
      <c r="AX766" s="777">
        <v>160</v>
      </c>
      <c r="AY766" s="765">
        <v>68.5</v>
      </c>
      <c r="AZ766" s="765">
        <v>311</v>
      </c>
      <c r="BA766" s="765">
        <v>7.07</v>
      </c>
      <c r="BB766" s="765">
        <v>91.8</v>
      </c>
      <c r="BC766" s="765">
        <v>38.6</v>
      </c>
      <c r="BD766" s="765">
        <v>140</v>
      </c>
      <c r="BE766" s="767">
        <v>0.24728826320464969</v>
      </c>
      <c r="BF766" s="767">
        <v>150.4</v>
      </c>
      <c r="BG766" s="765">
        <v>197</v>
      </c>
      <c r="BH766" s="765">
        <v>40</v>
      </c>
      <c r="BI766" s="765">
        <v>5790</v>
      </c>
      <c r="BJ766" s="765">
        <v>2.59</v>
      </c>
      <c r="BK766" s="765">
        <v>63.6</v>
      </c>
      <c r="BL766" s="771">
        <v>154</v>
      </c>
    </row>
    <row r="767" spans="35:64" x14ac:dyDescent="0.3">
      <c r="AI767" s="763" t="s">
        <v>1349</v>
      </c>
      <c r="AJ767" s="764">
        <v>2290</v>
      </c>
      <c r="AK767" s="765">
        <v>153</v>
      </c>
      <c r="AL767" s="765">
        <v>5.8</v>
      </c>
      <c r="AM767" s="765">
        <v>102</v>
      </c>
      <c r="AN767" s="765">
        <v>7.1</v>
      </c>
      <c r="AO767" s="773" t="s">
        <v>1350</v>
      </c>
      <c r="AP767" s="773">
        <v>21</v>
      </c>
      <c r="AQ767" s="769">
        <v>13</v>
      </c>
      <c r="AR767" s="770">
        <v>6</v>
      </c>
      <c r="AS767" s="15">
        <v>16</v>
      </c>
      <c r="AT767" s="16">
        <v>24</v>
      </c>
      <c r="AU767" s="17">
        <v>4.95</v>
      </c>
      <c r="AV767" s="16">
        <v>21.1</v>
      </c>
      <c r="AW767" s="11">
        <v>13.4</v>
      </c>
      <c r="AX767" s="11">
        <v>168</v>
      </c>
      <c r="AY767" s="765">
        <v>67.2</v>
      </c>
      <c r="AZ767" s="765">
        <v>245</v>
      </c>
      <c r="BA767" s="765">
        <v>5.56</v>
      </c>
      <c r="BB767" s="765">
        <v>72.599999999999994</v>
      </c>
      <c r="BC767" s="765">
        <v>38.200000000000003</v>
      </c>
      <c r="BD767" s="765">
        <v>111</v>
      </c>
      <c r="BE767" s="767">
        <v>0.2434486090863914</v>
      </c>
      <c r="BF767" s="767">
        <v>147.69999999999999</v>
      </c>
      <c r="BG767" s="765">
        <v>103</v>
      </c>
      <c r="BH767" s="765">
        <v>30.3</v>
      </c>
      <c r="BI767" s="765">
        <v>5650</v>
      </c>
      <c r="BJ767" s="765">
        <v>2.0099999999999998</v>
      </c>
      <c r="BK767" s="765">
        <v>50.3</v>
      </c>
      <c r="BL767" s="771">
        <v>121</v>
      </c>
    </row>
    <row r="768" spans="35:64" x14ac:dyDescent="0.3">
      <c r="AI768" s="763" t="s">
        <v>1351</v>
      </c>
      <c r="AJ768" s="764">
        <v>1730</v>
      </c>
      <c r="AK768" s="765">
        <v>150</v>
      </c>
      <c r="AL768" s="765">
        <v>4.3</v>
      </c>
      <c r="AM768" s="765">
        <v>100</v>
      </c>
      <c r="AN768" s="765">
        <v>5.5</v>
      </c>
      <c r="AO768" s="781" t="s">
        <v>1352</v>
      </c>
      <c r="AP768" s="781">
        <v>18</v>
      </c>
      <c r="AQ768" s="782">
        <v>13</v>
      </c>
      <c r="AR768" s="783">
        <v>6</v>
      </c>
      <c r="AS768" s="766">
        <v>12</v>
      </c>
      <c r="AT768" s="768">
        <v>18</v>
      </c>
      <c r="AU768" s="767">
        <v>7.18</v>
      </c>
      <c r="AV768" s="768">
        <v>23.9</v>
      </c>
      <c r="AW768" s="765">
        <v>9.17</v>
      </c>
      <c r="AX768" s="765">
        <v>120</v>
      </c>
      <c r="AY768" s="777">
        <v>65.099999999999994</v>
      </c>
      <c r="AZ768" s="777">
        <v>177</v>
      </c>
      <c r="BA768" s="777">
        <v>3.87</v>
      </c>
      <c r="BB768" s="777">
        <v>50.9</v>
      </c>
      <c r="BC768" s="777">
        <v>36.799999999999997</v>
      </c>
      <c r="BD768" s="777">
        <v>77.599999999999994</v>
      </c>
      <c r="BE768" s="780">
        <v>0.2356542582265379</v>
      </c>
      <c r="BF768" s="780">
        <v>145.4</v>
      </c>
      <c r="BG768" s="777">
        <v>43.4</v>
      </c>
      <c r="BH768" s="777">
        <v>20.399999999999999</v>
      </c>
      <c r="BI768" s="777">
        <v>5530</v>
      </c>
      <c r="BJ768" s="777">
        <v>1.39</v>
      </c>
      <c r="BK768" s="777">
        <v>35.1</v>
      </c>
      <c r="BL768" s="784">
        <v>86.9</v>
      </c>
    </row>
    <row r="769" spans="35:64" x14ac:dyDescent="0.3">
      <c r="AI769" s="763" t="s">
        <v>1353</v>
      </c>
      <c r="AJ769" s="764">
        <v>1610</v>
      </c>
      <c r="AK769" s="765">
        <v>148</v>
      </c>
      <c r="AL769" s="765">
        <v>4.3</v>
      </c>
      <c r="AM769" s="765">
        <v>100</v>
      </c>
      <c r="AN769" s="765">
        <v>4.9000000000000004</v>
      </c>
      <c r="AO769" s="12" t="s">
        <v>1354</v>
      </c>
      <c r="AP769" s="12">
        <v>22</v>
      </c>
      <c r="AQ769" s="13">
        <v>13</v>
      </c>
      <c r="AR769" s="14">
        <v>6</v>
      </c>
      <c r="AS769" s="766">
        <v>9</v>
      </c>
      <c r="AT769" s="768">
        <v>14</v>
      </c>
      <c r="AU769" s="767">
        <v>9.09</v>
      </c>
      <c r="AV769" s="768">
        <v>32.299999999999997</v>
      </c>
      <c r="AW769" s="765">
        <v>6.87</v>
      </c>
      <c r="AX769" s="765">
        <v>91.6</v>
      </c>
      <c r="AY769" s="11">
        <v>66.3</v>
      </c>
      <c r="AZ769" s="11">
        <v>192</v>
      </c>
      <c r="BA769" s="11">
        <v>1.83</v>
      </c>
      <c r="BB769" s="11">
        <v>35.799999999999997</v>
      </c>
      <c r="BC769" s="11">
        <v>24.4</v>
      </c>
      <c r="BD769" s="11">
        <v>55.3</v>
      </c>
      <c r="BE769" s="12">
        <v>0.16036447784163729</v>
      </c>
      <c r="BF769" s="16">
        <v>149.69999999999999</v>
      </c>
      <c r="BG769" s="11">
        <v>93.1</v>
      </c>
      <c r="BH769" s="11">
        <v>10.199999999999999</v>
      </c>
      <c r="BI769" s="11">
        <v>3820</v>
      </c>
      <c r="BJ769" s="11">
        <v>1</v>
      </c>
      <c r="BK769" s="11">
        <v>36.799999999999997</v>
      </c>
      <c r="BL769" s="18">
        <v>94.7</v>
      </c>
    </row>
    <row r="770" spans="35:64" x14ac:dyDescent="0.3">
      <c r="AI770" s="763" t="s">
        <v>1355</v>
      </c>
      <c r="AJ770" s="764">
        <v>3590</v>
      </c>
      <c r="AK770" s="765">
        <v>131</v>
      </c>
      <c r="AL770" s="765">
        <v>6.9</v>
      </c>
      <c r="AM770" s="765">
        <v>128</v>
      </c>
      <c r="AN770" s="765">
        <v>10.9</v>
      </c>
      <c r="AO770" s="773" t="s">
        <v>1356</v>
      </c>
      <c r="AP770" s="773">
        <v>19</v>
      </c>
      <c r="AQ770" s="772">
        <v>13</v>
      </c>
      <c r="AR770" s="774">
        <v>6</v>
      </c>
      <c r="AS770" s="766">
        <v>8.5</v>
      </c>
      <c r="AT770" s="768">
        <v>13</v>
      </c>
      <c r="AU770" s="767">
        <v>10.199999999999999</v>
      </c>
      <c r="AV770" s="768">
        <v>32.1</v>
      </c>
      <c r="AW770" s="765">
        <v>6.13</v>
      </c>
      <c r="AX770" s="765">
        <v>82.8</v>
      </c>
      <c r="AY770" s="765">
        <v>63.3</v>
      </c>
      <c r="AZ770" s="765">
        <v>136</v>
      </c>
      <c r="BA770" s="765">
        <v>1.26</v>
      </c>
      <c r="BB770" s="765">
        <v>24.7</v>
      </c>
      <c r="BC770" s="765">
        <v>23.5</v>
      </c>
      <c r="BD770" s="765">
        <v>38.299999999999997</v>
      </c>
      <c r="BE770" s="773">
        <v>0.15560398460709959</v>
      </c>
      <c r="BF770" s="768">
        <v>145.9</v>
      </c>
      <c r="BG770" s="765">
        <v>37.4</v>
      </c>
      <c r="BH770" s="765">
        <v>6.7</v>
      </c>
      <c r="BI770" s="765">
        <v>3720</v>
      </c>
      <c r="BJ770" s="765">
        <v>0.67400000000000004</v>
      </c>
      <c r="BK770" s="765">
        <v>24.9</v>
      </c>
      <c r="BL770" s="771">
        <v>66.8</v>
      </c>
    </row>
    <row r="771" spans="35:64" x14ac:dyDescent="0.3">
      <c r="AI771" s="763" t="s">
        <v>1357</v>
      </c>
      <c r="AJ771" s="764">
        <v>3020</v>
      </c>
      <c r="AK771" s="765">
        <v>127</v>
      </c>
      <c r="AL771" s="765">
        <v>6.1</v>
      </c>
      <c r="AM771" s="765">
        <v>127</v>
      </c>
      <c r="AN771" s="765">
        <v>9.1</v>
      </c>
      <c r="AO771" s="773" t="s">
        <v>1358</v>
      </c>
      <c r="AP771" s="773">
        <v>17</v>
      </c>
      <c r="AQ771" s="772">
        <v>12</v>
      </c>
      <c r="AR771" s="774">
        <v>6</v>
      </c>
      <c r="AS771" s="766">
        <v>19</v>
      </c>
      <c r="AT771" s="768">
        <v>28</v>
      </c>
      <c r="AU771" s="767">
        <v>5.87</v>
      </c>
      <c r="AV771" s="768">
        <v>15.8</v>
      </c>
      <c r="AW771" s="765">
        <v>11</v>
      </c>
      <c r="AX771" s="765">
        <v>168</v>
      </c>
      <c r="AY771" s="765">
        <v>63</v>
      </c>
      <c r="AZ771" s="765">
        <v>103</v>
      </c>
      <c r="BA771" s="765">
        <v>0.91800000000000004</v>
      </c>
      <c r="BB771" s="765">
        <v>18.399999999999999</v>
      </c>
      <c r="BC771" s="765">
        <v>23</v>
      </c>
      <c r="BD771" s="765">
        <v>28.3</v>
      </c>
      <c r="BE771" s="773">
        <v>0.15130274659093829</v>
      </c>
      <c r="BF771" s="768">
        <v>144.5</v>
      </c>
      <c r="BG771" s="765">
        <v>17.100000000000001</v>
      </c>
      <c r="BH771" s="765">
        <v>4.79</v>
      </c>
      <c r="BI771" s="765">
        <v>3610</v>
      </c>
      <c r="BJ771" s="765">
        <v>0.497</v>
      </c>
      <c r="BK771" s="765">
        <v>19</v>
      </c>
      <c r="BL771" s="771">
        <v>50.1</v>
      </c>
    </row>
    <row r="772" spans="35:64" x14ac:dyDescent="0.3">
      <c r="AI772" s="785" t="s">
        <v>1359</v>
      </c>
      <c r="AJ772" s="786">
        <v>2480</v>
      </c>
      <c r="AK772" s="787">
        <v>106</v>
      </c>
      <c r="AL772" s="787">
        <v>7.1</v>
      </c>
      <c r="AM772" s="787">
        <v>103</v>
      </c>
      <c r="AN772" s="787">
        <v>8.8000000000000007</v>
      </c>
      <c r="AO772" s="773" t="s">
        <v>1360</v>
      </c>
      <c r="AP772" s="773">
        <v>16</v>
      </c>
      <c r="AQ772" s="769">
        <v>12</v>
      </c>
      <c r="AR772" s="770">
        <v>6</v>
      </c>
      <c r="AS772" s="766">
        <v>16</v>
      </c>
      <c r="AT772" s="767">
        <v>24</v>
      </c>
      <c r="AU772" s="767">
        <v>6.98</v>
      </c>
      <c r="AV772" s="768">
        <v>17.8</v>
      </c>
      <c r="AW772" s="765">
        <v>8.84</v>
      </c>
      <c r="AX772" s="765">
        <v>139</v>
      </c>
      <c r="AY772" s="765">
        <v>61.7</v>
      </c>
      <c r="AZ772" s="765">
        <v>93</v>
      </c>
      <c r="BA772" s="765">
        <v>0.81799999999999995</v>
      </c>
      <c r="BB772" s="765">
        <v>16.399999999999999</v>
      </c>
      <c r="BC772" s="765">
        <v>22.5</v>
      </c>
      <c r="BD772" s="765">
        <v>25.3</v>
      </c>
      <c r="BE772" s="773">
        <v>0.1495294249953695</v>
      </c>
      <c r="BF772" s="768">
        <v>143.1</v>
      </c>
      <c r="BG772" s="765">
        <v>13.6</v>
      </c>
      <c r="BH772" s="765">
        <v>4.1900000000000004</v>
      </c>
      <c r="BI772" s="765">
        <v>3580</v>
      </c>
      <c r="BJ772" s="765">
        <v>0.438</v>
      </c>
      <c r="BK772" s="765">
        <v>16.8</v>
      </c>
      <c r="BL772" s="771">
        <v>45.3</v>
      </c>
    </row>
    <row r="773" spans="35:64" x14ac:dyDescent="0.3">
      <c r="AI773" s="9" t="s">
        <v>1361</v>
      </c>
      <c r="AJ773" s="10">
        <v>22900</v>
      </c>
      <c r="AK773" s="11">
        <v>622</v>
      </c>
      <c r="AL773" s="11">
        <v>20.3</v>
      </c>
      <c r="AM773" s="11">
        <v>204</v>
      </c>
      <c r="AN773" s="11">
        <v>27.7</v>
      </c>
      <c r="AO773" s="773" t="s">
        <v>1362</v>
      </c>
      <c r="AP773" s="773">
        <v>20</v>
      </c>
      <c r="AQ773" s="769">
        <v>11</v>
      </c>
      <c r="AR773" s="769">
        <v>5</v>
      </c>
      <c r="AS773" s="788">
        <v>13</v>
      </c>
      <c r="AT773" s="789">
        <v>19</v>
      </c>
      <c r="AU773" s="789">
        <v>5.85</v>
      </c>
      <c r="AV773" s="790">
        <v>12.5</v>
      </c>
      <c r="AW773" s="787">
        <v>4.7699999999999996</v>
      </c>
      <c r="AX773" s="787">
        <v>89.9</v>
      </c>
      <c r="AY773" s="765">
        <v>55.3</v>
      </c>
      <c r="AZ773" s="765">
        <v>191</v>
      </c>
      <c r="BA773" s="765">
        <v>3.81</v>
      </c>
      <c r="BB773" s="765">
        <v>59.6</v>
      </c>
      <c r="BC773" s="765">
        <v>32.6</v>
      </c>
      <c r="BD773" s="765">
        <v>90.8</v>
      </c>
      <c r="BE773" s="773">
        <v>0.20775255552154151</v>
      </c>
      <c r="BF773" s="768">
        <v>120.1</v>
      </c>
      <c r="BG773" s="765">
        <v>131</v>
      </c>
      <c r="BH773" s="765">
        <v>13.8</v>
      </c>
      <c r="BI773" s="765">
        <v>3840</v>
      </c>
      <c r="BJ773" s="765">
        <v>1.34</v>
      </c>
      <c r="BK773" s="765">
        <v>39.6</v>
      </c>
      <c r="BL773" s="771">
        <v>94.1</v>
      </c>
    </row>
    <row r="774" spans="35:64" x14ac:dyDescent="0.3">
      <c r="AI774" s="763" t="s">
        <v>1363</v>
      </c>
      <c r="AJ774" s="764">
        <v>20100</v>
      </c>
      <c r="AK774" s="765">
        <v>622</v>
      </c>
      <c r="AL774" s="765">
        <v>15.7</v>
      </c>
      <c r="AM774" s="765">
        <v>200</v>
      </c>
      <c r="AN774" s="765">
        <v>27.7</v>
      </c>
      <c r="AO774" s="773" t="s">
        <v>1364</v>
      </c>
      <c r="AP774" s="773">
        <v>18</v>
      </c>
      <c r="AQ774" s="769">
        <v>11</v>
      </c>
      <c r="AR774" s="770">
        <v>5</v>
      </c>
      <c r="AS774" s="15">
        <v>121</v>
      </c>
      <c r="AT774" s="17">
        <v>180</v>
      </c>
      <c r="AU774" s="17">
        <v>3.68</v>
      </c>
      <c r="AV774" s="16">
        <v>27.9</v>
      </c>
      <c r="AW774" s="11">
        <v>1310</v>
      </c>
      <c r="AX774" s="11">
        <v>4220</v>
      </c>
      <c r="AY774" s="765">
        <v>54.1</v>
      </c>
      <c r="AZ774" s="765">
        <v>157</v>
      </c>
      <c r="BA774" s="765">
        <v>3.11</v>
      </c>
      <c r="BB774" s="765">
        <v>49</v>
      </c>
      <c r="BC774" s="765">
        <v>32.1</v>
      </c>
      <c r="BD774" s="765">
        <v>74.599999999999994</v>
      </c>
      <c r="BE774" s="773">
        <v>0.20419195912304941</v>
      </c>
      <c r="BF774" s="767">
        <v>117.9</v>
      </c>
      <c r="BG774" s="765">
        <v>79.099999999999994</v>
      </c>
      <c r="BH774" s="765">
        <v>10.8</v>
      </c>
      <c r="BI774" s="765">
        <v>3740</v>
      </c>
      <c r="BJ774" s="765">
        <v>1.08</v>
      </c>
      <c r="BK774" s="765">
        <v>32.4</v>
      </c>
      <c r="BL774" s="771">
        <v>77.2</v>
      </c>
    </row>
    <row r="775" spans="35:64" x14ac:dyDescent="0.3">
      <c r="AI775" s="763" t="s">
        <v>1365</v>
      </c>
      <c r="AJ775" s="764">
        <v>19000</v>
      </c>
      <c r="AK775" s="765">
        <v>610</v>
      </c>
      <c r="AL775" s="765">
        <v>18.899999999999999</v>
      </c>
      <c r="AM775" s="765">
        <v>184</v>
      </c>
      <c r="AN775" s="765">
        <v>22.1</v>
      </c>
      <c r="AO775" s="791" t="s">
        <v>1366</v>
      </c>
      <c r="AP775" s="791">
        <v>18</v>
      </c>
      <c r="AQ775" s="792">
        <v>12</v>
      </c>
      <c r="AR775" s="793">
        <v>4</v>
      </c>
      <c r="AS775" s="766">
        <v>106</v>
      </c>
      <c r="AT775" s="767">
        <v>158</v>
      </c>
      <c r="AU775" s="767">
        <v>3.61</v>
      </c>
      <c r="AV775" s="768">
        <v>36.1</v>
      </c>
      <c r="AW775" s="765">
        <v>1220</v>
      </c>
      <c r="AX775" s="765">
        <v>3940</v>
      </c>
      <c r="AY775" s="787">
        <v>43.9</v>
      </c>
      <c r="AZ775" s="787">
        <v>103</v>
      </c>
      <c r="BA775" s="787">
        <v>1.61</v>
      </c>
      <c r="BB775" s="787">
        <v>31.2</v>
      </c>
      <c r="BC775" s="787">
        <v>25.5</v>
      </c>
      <c r="BD775" s="787">
        <v>48</v>
      </c>
      <c r="BE775" s="791">
        <v>0.16576255250732061</v>
      </c>
      <c r="BF775" s="789">
        <v>97.2</v>
      </c>
      <c r="BG775" s="787">
        <v>63.6</v>
      </c>
      <c r="BH775" s="787">
        <v>3.79</v>
      </c>
      <c r="BI775" s="787">
        <v>2500</v>
      </c>
      <c r="BJ775" s="787">
        <v>0.56699999999999995</v>
      </c>
      <c r="BK775" s="787">
        <v>20.5</v>
      </c>
      <c r="BL775" s="794">
        <v>51</v>
      </c>
    </row>
    <row r="776" spans="35:64" x14ac:dyDescent="0.3">
      <c r="AI776" s="763" t="s">
        <v>1367</v>
      </c>
      <c r="AJ776" s="764">
        <v>17100</v>
      </c>
      <c r="AK776" s="765">
        <v>610</v>
      </c>
      <c r="AL776" s="765">
        <v>15.9</v>
      </c>
      <c r="AM776" s="765">
        <v>181</v>
      </c>
      <c r="AN776" s="765">
        <v>22.1</v>
      </c>
      <c r="AO776" s="11" t="s">
        <v>1368</v>
      </c>
      <c r="AP776" s="11">
        <v>50</v>
      </c>
      <c r="AQ776" s="13">
        <v>25</v>
      </c>
      <c r="AR776" s="14">
        <v>24</v>
      </c>
      <c r="AS776" s="766">
        <v>100</v>
      </c>
      <c r="AT776" s="767">
        <v>149</v>
      </c>
      <c r="AU776" s="767">
        <v>4.16</v>
      </c>
      <c r="AV776" s="768">
        <v>29.9</v>
      </c>
      <c r="AW776" s="765">
        <v>997</v>
      </c>
      <c r="AX776" s="765">
        <v>3270</v>
      </c>
      <c r="AY776" s="11">
        <v>239</v>
      </c>
      <c r="AZ776" s="11">
        <v>5020</v>
      </c>
      <c r="BA776" s="11">
        <v>33.9</v>
      </c>
      <c r="BB776" s="11">
        <v>332</v>
      </c>
      <c r="BC776" s="11">
        <v>38.5</v>
      </c>
      <c r="BD776" s="11">
        <v>592</v>
      </c>
      <c r="BE776" s="12">
        <v>0.27467016990263049</v>
      </c>
      <c r="BF776" s="17">
        <v>594.29999999999995</v>
      </c>
      <c r="BG776" s="11">
        <v>5330</v>
      </c>
      <c r="BH776" s="11">
        <v>2990</v>
      </c>
      <c r="BI776" s="11"/>
      <c r="BJ776" s="11"/>
      <c r="BK776" s="11"/>
      <c r="BL776" s="18"/>
    </row>
    <row r="777" spans="35:64" x14ac:dyDescent="0.3">
      <c r="AI777" s="763" t="s">
        <v>1369</v>
      </c>
      <c r="AJ777" s="764">
        <v>15200</v>
      </c>
      <c r="AK777" s="765">
        <v>610</v>
      </c>
      <c r="AL777" s="765">
        <v>12.7</v>
      </c>
      <c r="AM777" s="765">
        <v>178</v>
      </c>
      <c r="AN777" s="765">
        <v>22.1</v>
      </c>
      <c r="AO777" s="765" t="s">
        <v>1370</v>
      </c>
      <c r="AP777" s="765">
        <v>50</v>
      </c>
      <c r="AQ777" s="769">
        <v>23</v>
      </c>
      <c r="AR777" s="770">
        <v>24</v>
      </c>
      <c r="AS777" s="766">
        <v>90</v>
      </c>
      <c r="AT777" s="767">
        <v>134</v>
      </c>
      <c r="AU777" s="767">
        <v>4.0999999999999996</v>
      </c>
      <c r="AV777" s="768">
        <v>35.6</v>
      </c>
      <c r="AW777" s="765">
        <v>940</v>
      </c>
      <c r="AX777" s="765">
        <v>3080</v>
      </c>
      <c r="AY777" s="765">
        <v>247</v>
      </c>
      <c r="AZ777" s="765">
        <v>4580</v>
      </c>
      <c r="BA777" s="765">
        <v>31.6</v>
      </c>
      <c r="BB777" s="765">
        <v>316</v>
      </c>
      <c r="BC777" s="765">
        <v>39.700000000000003</v>
      </c>
      <c r="BD777" s="765">
        <v>545</v>
      </c>
      <c r="BE777" s="773">
        <v>0.27452045533236702</v>
      </c>
      <c r="BF777" s="767">
        <v>594.29999999999995</v>
      </c>
      <c r="BG777" s="765">
        <v>4210</v>
      </c>
      <c r="BH777" s="765">
        <v>2790</v>
      </c>
      <c r="BI777" s="765"/>
      <c r="BJ777" s="765"/>
      <c r="BK777" s="765"/>
      <c r="BL777" s="771"/>
    </row>
    <row r="778" spans="35:64" x14ac:dyDescent="0.3">
      <c r="AI778" s="763" t="s">
        <v>1371</v>
      </c>
      <c r="AJ778" s="764">
        <v>18200</v>
      </c>
      <c r="AK778" s="765">
        <v>516</v>
      </c>
      <c r="AL778" s="765">
        <v>20.3</v>
      </c>
      <c r="AM778" s="765">
        <v>183</v>
      </c>
      <c r="AN778" s="765">
        <v>23.4</v>
      </c>
      <c r="AO778" s="765" t="s">
        <v>1372</v>
      </c>
      <c r="AP778" s="765">
        <v>44</v>
      </c>
      <c r="AQ778" s="769">
        <v>25</v>
      </c>
      <c r="AR778" s="770">
        <v>24</v>
      </c>
      <c r="AS778" s="766">
        <v>80</v>
      </c>
      <c r="AT778" s="767">
        <v>119</v>
      </c>
      <c r="AU778" s="767">
        <v>4.03</v>
      </c>
      <c r="AV778" s="768">
        <v>44.6</v>
      </c>
      <c r="AW778" s="765">
        <v>880</v>
      </c>
      <c r="AX778" s="765">
        <v>2890</v>
      </c>
      <c r="AY778" s="765">
        <v>229</v>
      </c>
      <c r="AZ778" s="765">
        <v>3940</v>
      </c>
      <c r="BA778" s="765">
        <v>19.7</v>
      </c>
      <c r="BB778" s="765">
        <v>214</v>
      </c>
      <c r="BC778" s="765">
        <v>32.200000000000003</v>
      </c>
      <c r="BD778" s="765">
        <v>393</v>
      </c>
      <c r="BE778" s="773">
        <v>0.23656740750490229</v>
      </c>
      <c r="BF778" s="767">
        <v>587.9</v>
      </c>
      <c r="BG778" s="765">
        <v>3160</v>
      </c>
      <c r="BH778" s="765">
        <v>1700</v>
      </c>
      <c r="BI778" s="765"/>
      <c r="BJ778" s="765"/>
      <c r="BK778" s="765"/>
      <c r="BL778" s="771"/>
    </row>
    <row r="779" spans="35:64" x14ac:dyDescent="0.3">
      <c r="AI779" s="763" t="s">
        <v>1373</v>
      </c>
      <c r="AJ779" s="764">
        <v>16400</v>
      </c>
      <c r="AK779" s="765">
        <v>516</v>
      </c>
      <c r="AL779" s="765">
        <v>16.8</v>
      </c>
      <c r="AM779" s="765">
        <v>179</v>
      </c>
      <c r="AN779" s="765">
        <v>23.4</v>
      </c>
      <c r="AO779" s="765" t="s">
        <v>1374</v>
      </c>
      <c r="AP779" s="765">
        <v>44</v>
      </c>
      <c r="AQ779" s="769">
        <v>24</v>
      </c>
      <c r="AR779" s="770">
        <v>24</v>
      </c>
      <c r="AS779" s="766">
        <v>96</v>
      </c>
      <c r="AT779" s="768">
        <v>143</v>
      </c>
      <c r="AU779" s="767">
        <v>3.91</v>
      </c>
      <c r="AV779" s="768">
        <v>23.1</v>
      </c>
      <c r="AW779" s="765">
        <v>700</v>
      </c>
      <c r="AX779" s="765">
        <v>2710</v>
      </c>
      <c r="AY779" s="765">
        <v>234</v>
      </c>
      <c r="AZ779" s="765">
        <v>3660</v>
      </c>
      <c r="BA779" s="765">
        <v>18.600000000000001</v>
      </c>
      <c r="BB779" s="765">
        <v>205</v>
      </c>
      <c r="BC779" s="765">
        <v>32.9</v>
      </c>
      <c r="BD779" s="765">
        <v>367</v>
      </c>
      <c r="BE779" s="773">
        <v>0.23666436671989599</v>
      </c>
      <c r="BF779" s="767">
        <v>587.9</v>
      </c>
      <c r="BG779" s="765">
        <v>2530</v>
      </c>
      <c r="BH779" s="765">
        <v>1600</v>
      </c>
      <c r="BI779" s="765"/>
      <c r="BJ779" s="765"/>
      <c r="BK779" s="765"/>
      <c r="BL779" s="771"/>
    </row>
    <row r="780" spans="35:64" x14ac:dyDescent="0.3">
      <c r="AI780" s="763" t="s">
        <v>1375</v>
      </c>
      <c r="AJ780" s="764">
        <v>14200</v>
      </c>
      <c r="AK780" s="765">
        <v>508</v>
      </c>
      <c r="AL780" s="765">
        <v>16.100000000000001</v>
      </c>
      <c r="AM780" s="765">
        <v>162</v>
      </c>
      <c r="AN780" s="765">
        <v>20.2</v>
      </c>
      <c r="AO780" s="765" t="s">
        <v>1376</v>
      </c>
      <c r="AP780" s="765">
        <v>44</v>
      </c>
      <c r="AQ780" s="769">
        <v>22</v>
      </c>
      <c r="AR780" s="770">
        <v>24</v>
      </c>
      <c r="AS780" s="766">
        <v>86</v>
      </c>
      <c r="AT780" s="767">
        <v>128</v>
      </c>
      <c r="AU780" s="768">
        <v>3.82</v>
      </c>
      <c r="AV780" s="768">
        <v>27.9</v>
      </c>
      <c r="AW780" s="765">
        <v>658</v>
      </c>
      <c r="AX780" s="765">
        <v>2550</v>
      </c>
      <c r="AY780" s="765">
        <v>241</v>
      </c>
      <c r="AZ780" s="765">
        <v>3360</v>
      </c>
      <c r="BA780" s="765">
        <v>17.5</v>
      </c>
      <c r="BB780" s="765">
        <v>197</v>
      </c>
      <c r="BC780" s="765">
        <v>34</v>
      </c>
      <c r="BD780" s="765">
        <v>342</v>
      </c>
      <c r="BE780" s="773">
        <v>0.23716730992323631</v>
      </c>
      <c r="BF780" s="767">
        <v>587.9</v>
      </c>
      <c r="BG780" s="765">
        <v>2040</v>
      </c>
      <c r="BH780" s="765">
        <v>1510</v>
      </c>
      <c r="BI780" s="765"/>
      <c r="BJ780" s="765"/>
      <c r="BK780" s="765"/>
      <c r="BL780" s="771"/>
    </row>
    <row r="781" spans="35:64" x14ac:dyDescent="0.3">
      <c r="AI781" s="763" t="s">
        <v>1377</v>
      </c>
      <c r="AJ781" s="764">
        <v>12500</v>
      </c>
      <c r="AK781" s="765">
        <v>508</v>
      </c>
      <c r="AL781" s="765">
        <v>12.8</v>
      </c>
      <c r="AM781" s="765">
        <v>159</v>
      </c>
      <c r="AN781" s="765">
        <v>20.2</v>
      </c>
      <c r="AO781" s="765" t="s">
        <v>1378</v>
      </c>
      <c r="AP781" s="765">
        <v>45</v>
      </c>
      <c r="AQ781" s="769">
        <v>26</v>
      </c>
      <c r="AR781" s="770">
        <v>20</v>
      </c>
      <c r="AS781" s="766">
        <v>75</v>
      </c>
      <c r="AT781" s="767">
        <v>112</v>
      </c>
      <c r="AU781" s="767">
        <v>4.01</v>
      </c>
      <c r="AV781" s="768">
        <v>29</v>
      </c>
      <c r="AW781" s="765">
        <v>532</v>
      </c>
      <c r="AX781" s="765">
        <v>2090</v>
      </c>
      <c r="AY781" s="765">
        <v>196</v>
      </c>
      <c r="AZ781" s="765">
        <v>3250</v>
      </c>
      <c r="BA781" s="765">
        <v>20.7</v>
      </c>
      <c r="BB781" s="765">
        <v>226</v>
      </c>
      <c r="BC781" s="765">
        <v>33.700000000000003</v>
      </c>
      <c r="BD781" s="765">
        <v>410</v>
      </c>
      <c r="BE781" s="767">
        <v>0.24411843505500311</v>
      </c>
      <c r="BF781" s="767">
        <v>492.6</v>
      </c>
      <c r="BG781" s="765">
        <v>3500</v>
      </c>
      <c r="BH781" s="765">
        <v>1260</v>
      </c>
      <c r="BI781" s="765"/>
      <c r="BJ781" s="765"/>
      <c r="BK781" s="765"/>
      <c r="BL781" s="771"/>
    </row>
    <row r="782" spans="35:64" x14ac:dyDescent="0.3">
      <c r="AI782" s="763" t="s">
        <v>1379</v>
      </c>
      <c r="AJ782" s="764">
        <v>13300</v>
      </c>
      <c r="AK782" s="765">
        <v>457</v>
      </c>
      <c r="AL782" s="765">
        <v>18.100000000000001</v>
      </c>
      <c r="AM782" s="765">
        <v>159</v>
      </c>
      <c r="AN782" s="765">
        <v>17.600000000000001</v>
      </c>
      <c r="AO782" s="765" t="s">
        <v>1380</v>
      </c>
      <c r="AP782" s="765">
        <v>45</v>
      </c>
      <c r="AQ782" s="769">
        <v>24</v>
      </c>
      <c r="AR782" s="770">
        <v>20</v>
      </c>
      <c r="AS782" s="766">
        <v>66</v>
      </c>
      <c r="AT782" s="767">
        <v>98.2</v>
      </c>
      <c r="AU782" s="767">
        <v>3.94</v>
      </c>
      <c r="AV782" s="768">
        <v>36.5</v>
      </c>
      <c r="AW782" s="765">
        <v>497</v>
      </c>
      <c r="AX782" s="765">
        <v>1960</v>
      </c>
      <c r="AY782" s="765">
        <v>200</v>
      </c>
      <c r="AZ782" s="765">
        <v>3010</v>
      </c>
      <c r="BA782" s="765">
        <v>19.2</v>
      </c>
      <c r="BB782" s="765">
        <v>214</v>
      </c>
      <c r="BC782" s="765">
        <v>34.200000000000003</v>
      </c>
      <c r="BD782" s="765">
        <v>378</v>
      </c>
      <c r="BE782" s="767">
        <v>0.24191885274508571</v>
      </c>
      <c r="BF782" s="767">
        <v>492.6</v>
      </c>
      <c r="BG782" s="765">
        <v>2780</v>
      </c>
      <c r="BH782" s="765">
        <v>1160</v>
      </c>
      <c r="BI782" s="765"/>
      <c r="BJ782" s="765"/>
      <c r="BK782" s="765"/>
      <c r="BL782" s="771"/>
    </row>
    <row r="783" spans="35:64" x14ac:dyDescent="0.3">
      <c r="AI783" s="775" t="s">
        <v>1381</v>
      </c>
      <c r="AJ783" s="776">
        <v>10400</v>
      </c>
      <c r="AK783" s="777">
        <v>457</v>
      </c>
      <c r="AL783" s="777">
        <v>11.7</v>
      </c>
      <c r="AM783" s="777">
        <v>152</v>
      </c>
      <c r="AN783" s="777">
        <v>17.600000000000001</v>
      </c>
      <c r="AO783" s="765" t="s">
        <v>1382</v>
      </c>
      <c r="AP783" s="765">
        <v>41</v>
      </c>
      <c r="AQ783" s="769">
        <v>23</v>
      </c>
      <c r="AR783" s="770">
        <v>20</v>
      </c>
      <c r="AS783" s="766">
        <v>70</v>
      </c>
      <c r="AT783" s="767">
        <v>104</v>
      </c>
      <c r="AU783" s="767">
        <v>4.5199999999999996</v>
      </c>
      <c r="AV783" s="768">
        <v>23.3</v>
      </c>
      <c r="AW783" s="765">
        <v>387</v>
      </c>
      <c r="AX783" s="765">
        <v>1690</v>
      </c>
      <c r="AY783" s="765">
        <v>194</v>
      </c>
      <c r="AZ783" s="765">
        <v>2500</v>
      </c>
      <c r="BA783" s="765">
        <v>12.3</v>
      </c>
      <c r="BB783" s="765">
        <v>152</v>
      </c>
      <c r="BC783" s="765">
        <v>29.4</v>
      </c>
      <c r="BD783" s="765">
        <v>274</v>
      </c>
      <c r="BE783" s="773">
        <v>0.2130014103469626</v>
      </c>
      <c r="BF783" s="767">
        <v>487.8</v>
      </c>
      <c r="BG783" s="765">
        <v>1910</v>
      </c>
      <c r="BH783" s="765">
        <v>731</v>
      </c>
      <c r="BI783" s="765"/>
      <c r="BJ783" s="765"/>
      <c r="BK783" s="765"/>
      <c r="BL783" s="771"/>
    </row>
    <row r="784" spans="35:64" x14ac:dyDescent="0.3">
      <c r="AI784" s="9" t="s">
        <v>1383</v>
      </c>
      <c r="AJ784" s="10">
        <v>9500</v>
      </c>
      <c r="AK784" s="11">
        <v>381</v>
      </c>
      <c r="AL784" s="11">
        <v>14</v>
      </c>
      <c r="AM784" s="11">
        <v>143</v>
      </c>
      <c r="AN784" s="11">
        <v>15.8</v>
      </c>
      <c r="AO784" s="765" t="s">
        <v>1384</v>
      </c>
      <c r="AP784" s="765">
        <v>41</v>
      </c>
      <c r="AQ784" s="769">
        <v>22</v>
      </c>
      <c r="AR784" s="769">
        <v>20</v>
      </c>
      <c r="AS784" s="778">
        <v>54.7</v>
      </c>
      <c r="AT784" s="780">
        <v>81.400000000000006</v>
      </c>
      <c r="AU784" s="780">
        <v>4.32</v>
      </c>
      <c r="AV784" s="779">
        <v>36.1</v>
      </c>
      <c r="AW784" s="777">
        <v>335</v>
      </c>
      <c r="AX784" s="777">
        <v>1470</v>
      </c>
      <c r="AY784" s="765">
        <v>199</v>
      </c>
      <c r="AZ784" s="765">
        <v>2290</v>
      </c>
      <c r="BA784" s="765">
        <v>11.5</v>
      </c>
      <c r="BB784" s="765">
        <v>145</v>
      </c>
      <c r="BC784" s="765">
        <v>30.3</v>
      </c>
      <c r="BD784" s="765">
        <v>253</v>
      </c>
      <c r="BE784" s="773">
        <v>0.21272104109316181</v>
      </c>
      <c r="BF784" s="767">
        <v>487.8</v>
      </c>
      <c r="BG784" s="765">
        <v>1490</v>
      </c>
      <c r="BH784" s="765">
        <v>684</v>
      </c>
      <c r="BI784" s="765"/>
      <c r="BJ784" s="765"/>
      <c r="BK784" s="765"/>
      <c r="BL784" s="771"/>
    </row>
    <row r="785" spans="35:64" x14ac:dyDescent="0.3">
      <c r="AI785" s="763" t="s">
        <v>1385</v>
      </c>
      <c r="AJ785" s="764">
        <v>8150</v>
      </c>
      <c r="AK785" s="765">
        <v>381</v>
      </c>
      <c r="AL785" s="765">
        <v>10.4</v>
      </c>
      <c r="AM785" s="765">
        <v>140</v>
      </c>
      <c r="AN785" s="765">
        <v>15.8</v>
      </c>
      <c r="AO785" s="765" t="s">
        <v>1386</v>
      </c>
      <c r="AP785" s="765">
        <v>37</v>
      </c>
      <c r="AQ785" s="769">
        <v>23</v>
      </c>
      <c r="AR785" s="769">
        <v>18</v>
      </c>
      <c r="AS785" s="15">
        <v>50</v>
      </c>
      <c r="AT785" s="11">
        <v>74</v>
      </c>
      <c r="AU785" s="17">
        <v>4.53</v>
      </c>
      <c r="AV785" s="16">
        <v>25</v>
      </c>
      <c r="AW785" s="11">
        <v>203</v>
      </c>
      <c r="AX785" s="11">
        <v>1060</v>
      </c>
      <c r="AY785" s="765">
        <v>170</v>
      </c>
      <c r="AZ785" s="765">
        <v>2050</v>
      </c>
      <c r="BA785" s="765">
        <v>10.1</v>
      </c>
      <c r="BB785" s="765">
        <v>127</v>
      </c>
      <c r="BC785" s="765">
        <v>27.5</v>
      </c>
      <c r="BD785" s="765">
        <v>238</v>
      </c>
      <c r="BE785" s="773">
        <v>0.2037132284067017</v>
      </c>
      <c r="BF785" s="767">
        <v>439.4</v>
      </c>
      <c r="BG785" s="765">
        <v>1740</v>
      </c>
      <c r="BH785" s="765">
        <v>487</v>
      </c>
      <c r="BI785" s="765"/>
      <c r="BJ785" s="765"/>
      <c r="BK785" s="765"/>
      <c r="BL785" s="771"/>
    </row>
    <row r="786" spans="35:64" x14ac:dyDescent="0.3">
      <c r="AI786" s="763" t="s">
        <v>1387</v>
      </c>
      <c r="AJ786" s="764">
        <v>9470</v>
      </c>
      <c r="AK786" s="765">
        <v>305</v>
      </c>
      <c r="AL786" s="765">
        <v>17.399999999999999</v>
      </c>
      <c r="AM786" s="765">
        <v>139</v>
      </c>
      <c r="AN786" s="765">
        <v>16.7</v>
      </c>
      <c r="AO786" s="777" t="s">
        <v>1388</v>
      </c>
      <c r="AP786" s="777">
        <v>37</v>
      </c>
      <c r="AQ786" s="782">
        <v>20</v>
      </c>
      <c r="AR786" s="782">
        <v>18</v>
      </c>
      <c r="AS786" s="766">
        <v>42.9</v>
      </c>
      <c r="AT786" s="765">
        <v>64</v>
      </c>
      <c r="AU786" s="767">
        <v>4.43</v>
      </c>
      <c r="AV786" s="768">
        <v>33.6</v>
      </c>
      <c r="AW786" s="765">
        <v>187</v>
      </c>
      <c r="AX786" s="765">
        <v>980</v>
      </c>
      <c r="AY786" s="777">
        <v>180</v>
      </c>
      <c r="AZ786" s="777">
        <v>1710</v>
      </c>
      <c r="BA786" s="777">
        <v>8.6199999999999992</v>
      </c>
      <c r="BB786" s="777">
        <v>113</v>
      </c>
      <c r="BC786" s="777">
        <v>28.8</v>
      </c>
      <c r="BD786" s="777">
        <v>199</v>
      </c>
      <c r="BE786" s="781">
        <v>0.20183267757889259</v>
      </c>
      <c r="BF786" s="780">
        <v>439.4</v>
      </c>
      <c r="BG786" s="777">
        <v>983</v>
      </c>
      <c r="BH786" s="777">
        <v>416</v>
      </c>
      <c r="BI786" s="777"/>
      <c r="BJ786" s="777"/>
      <c r="BK786" s="777"/>
      <c r="BL786" s="784"/>
    </row>
    <row r="787" spans="35:64" x14ac:dyDescent="0.3">
      <c r="AI787" s="763" t="s">
        <v>1389</v>
      </c>
      <c r="AJ787" s="764">
        <v>7720</v>
      </c>
      <c r="AK787" s="765">
        <v>305</v>
      </c>
      <c r="AL787" s="765">
        <v>11.7</v>
      </c>
      <c r="AM787" s="765">
        <v>133</v>
      </c>
      <c r="AN787" s="765">
        <v>16.7</v>
      </c>
      <c r="AO787" s="11" t="s">
        <v>1390</v>
      </c>
      <c r="AP787" s="11">
        <v>34</v>
      </c>
      <c r="AQ787" s="13">
        <v>20</v>
      </c>
      <c r="AR787" s="14">
        <v>15</v>
      </c>
      <c r="AS787" s="766">
        <v>50</v>
      </c>
      <c r="AT787" s="765">
        <v>74</v>
      </c>
      <c r="AU787" s="767">
        <v>4.16</v>
      </c>
      <c r="AV787" s="768">
        <v>15.6</v>
      </c>
      <c r="AW787" s="765">
        <v>127</v>
      </c>
      <c r="AX787" s="765">
        <v>833</v>
      </c>
      <c r="AY787" s="11">
        <v>146</v>
      </c>
      <c r="AZ787" s="11">
        <v>1270</v>
      </c>
      <c r="BA787" s="11">
        <v>6.49</v>
      </c>
      <c r="BB787" s="11">
        <v>90.8</v>
      </c>
      <c r="BC787" s="11">
        <v>26.1</v>
      </c>
      <c r="BD787" s="11">
        <v>164</v>
      </c>
      <c r="BE787" s="17">
        <v>0.18815821094238211</v>
      </c>
      <c r="BF787" s="16">
        <v>365.2</v>
      </c>
      <c r="BG787" s="11">
        <v>884</v>
      </c>
      <c r="BH787" s="11">
        <v>217</v>
      </c>
      <c r="BI787" s="11"/>
      <c r="BJ787" s="11"/>
      <c r="BK787" s="11"/>
      <c r="BL787" s="18"/>
    </row>
    <row r="788" spans="35:64" x14ac:dyDescent="0.3">
      <c r="AI788" s="763" t="s">
        <v>1391</v>
      </c>
      <c r="AJ788" s="764">
        <v>6660</v>
      </c>
      <c r="AK788" s="765">
        <v>305</v>
      </c>
      <c r="AL788" s="765">
        <v>10.9</v>
      </c>
      <c r="AM788" s="765">
        <v>129</v>
      </c>
      <c r="AN788" s="765">
        <v>13.8</v>
      </c>
      <c r="AO788" s="765" t="s">
        <v>1392</v>
      </c>
      <c r="AP788" s="765">
        <v>34</v>
      </c>
      <c r="AQ788" s="769">
        <v>18</v>
      </c>
      <c r="AR788" s="770">
        <v>15</v>
      </c>
      <c r="AS788" s="766">
        <v>40.799999999999997</v>
      </c>
      <c r="AT788" s="768">
        <v>60.7</v>
      </c>
      <c r="AU788" s="767">
        <v>3.98</v>
      </c>
      <c r="AV788" s="768">
        <v>23.2</v>
      </c>
      <c r="AW788" s="765">
        <v>113</v>
      </c>
      <c r="AX788" s="765">
        <v>744</v>
      </c>
      <c r="AY788" s="765">
        <v>151</v>
      </c>
      <c r="AZ788" s="765">
        <v>1140</v>
      </c>
      <c r="BA788" s="765">
        <v>6.01</v>
      </c>
      <c r="BB788" s="765">
        <v>85.9</v>
      </c>
      <c r="BC788" s="765">
        <v>27.2</v>
      </c>
      <c r="BD788" s="765">
        <v>149</v>
      </c>
      <c r="BE788" s="767">
        <v>0.18808886210425349</v>
      </c>
      <c r="BF788" s="768">
        <v>365.2</v>
      </c>
      <c r="BG788" s="765">
        <v>641</v>
      </c>
      <c r="BH788" s="765">
        <v>200</v>
      </c>
      <c r="BI788" s="765"/>
      <c r="BJ788" s="765"/>
      <c r="BK788" s="765"/>
      <c r="BL788" s="771"/>
    </row>
    <row r="789" spans="35:64" x14ac:dyDescent="0.3">
      <c r="AI789" s="763" t="s">
        <v>1393</v>
      </c>
      <c r="AJ789" s="764">
        <v>6050</v>
      </c>
      <c r="AK789" s="765">
        <v>305</v>
      </c>
      <c r="AL789" s="765">
        <v>8.9</v>
      </c>
      <c r="AM789" s="765">
        <v>127</v>
      </c>
      <c r="AN789" s="765">
        <v>13.8</v>
      </c>
      <c r="AO789" s="765" t="s">
        <v>1394</v>
      </c>
      <c r="AP789" s="765">
        <v>35</v>
      </c>
      <c r="AQ789" s="769">
        <v>23</v>
      </c>
      <c r="AR789" s="770">
        <v>12</v>
      </c>
      <c r="AS789" s="766">
        <v>35</v>
      </c>
      <c r="AT789" s="768">
        <v>52</v>
      </c>
      <c r="AU789" s="767">
        <v>4.67</v>
      </c>
      <c r="AV789" s="768">
        <v>25.4</v>
      </c>
      <c r="AW789" s="765">
        <v>95.9</v>
      </c>
      <c r="AX789" s="765">
        <v>629</v>
      </c>
      <c r="AY789" s="765">
        <v>116</v>
      </c>
      <c r="AZ789" s="765">
        <v>1000</v>
      </c>
      <c r="BA789" s="765">
        <v>6.48</v>
      </c>
      <c r="BB789" s="765">
        <v>93.3</v>
      </c>
      <c r="BC789" s="765">
        <v>26.2</v>
      </c>
      <c r="BD789" s="765">
        <v>169</v>
      </c>
      <c r="BE789" s="767">
        <v>0.1884320152630258</v>
      </c>
      <c r="BF789" s="768">
        <v>288.3</v>
      </c>
      <c r="BG789" s="765">
        <v>1160</v>
      </c>
      <c r="BH789" s="765">
        <v>135</v>
      </c>
      <c r="BI789" s="765"/>
      <c r="BJ789" s="765"/>
      <c r="BK789" s="765"/>
      <c r="BL789" s="771"/>
    </row>
    <row r="790" spans="35:64" x14ac:dyDescent="0.3">
      <c r="AI790" s="763" t="s">
        <v>1395</v>
      </c>
      <c r="AJ790" s="764">
        <v>6660</v>
      </c>
      <c r="AK790" s="765">
        <v>254</v>
      </c>
      <c r="AL790" s="765">
        <v>15.1</v>
      </c>
      <c r="AM790" s="765">
        <v>126</v>
      </c>
      <c r="AN790" s="765">
        <v>12.5</v>
      </c>
      <c r="AO790" s="765" t="s">
        <v>1396</v>
      </c>
      <c r="AP790" s="765">
        <v>35</v>
      </c>
      <c r="AQ790" s="769">
        <v>20</v>
      </c>
      <c r="AR790" s="770">
        <v>12</v>
      </c>
      <c r="AS790" s="766">
        <v>31.8</v>
      </c>
      <c r="AT790" s="768">
        <v>47</v>
      </c>
      <c r="AU790" s="767">
        <v>4.5999999999999996</v>
      </c>
      <c r="AV790" s="768">
        <v>31.2</v>
      </c>
      <c r="AW790" s="765">
        <v>91.2</v>
      </c>
      <c r="AX790" s="765">
        <v>598</v>
      </c>
      <c r="AY790" s="765">
        <v>121</v>
      </c>
      <c r="AZ790" s="765">
        <v>868</v>
      </c>
      <c r="BA790" s="765">
        <v>5.56</v>
      </c>
      <c r="BB790" s="765">
        <v>83.7</v>
      </c>
      <c r="BC790" s="765">
        <v>26.8</v>
      </c>
      <c r="BD790" s="765">
        <v>145</v>
      </c>
      <c r="BE790" s="767">
        <v>0.184755224171922</v>
      </c>
      <c r="BF790" s="768">
        <v>288.3</v>
      </c>
      <c r="BG790" s="765">
        <v>722</v>
      </c>
      <c r="BH790" s="765">
        <v>116</v>
      </c>
      <c r="BI790" s="765"/>
      <c r="BJ790" s="765"/>
      <c r="BK790" s="765"/>
      <c r="BL790" s="771"/>
    </row>
    <row r="791" spans="35:64" x14ac:dyDescent="0.3">
      <c r="AI791" s="763" t="s">
        <v>1397</v>
      </c>
      <c r="AJ791" s="764">
        <v>4810</v>
      </c>
      <c r="AK791" s="765">
        <v>254</v>
      </c>
      <c r="AL791" s="765">
        <v>7.9</v>
      </c>
      <c r="AM791" s="765">
        <v>118</v>
      </c>
      <c r="AN791" s="765">
        <v>12.5</v>
      </c>
      <c r="AO791" s="765" t="s">
        <v>1398</v>
      </c>
      <c r="AP791" s="765">
        <v>30</v>
      </c>
      <c r="AQ791" s="769">
        <v>17</v>
      </c>
      <c r="AR791" s="770">
        <v>12</v>
      </c>
      <c r="AS791" s="766">
        <v>35</v>
      </c>
      <c r="AT791" s="768">
        <v>52</v>
      </c>
      <c r="AU791" s="767">
        <v>5.04</v>
      </c>
      <c r="AV791" s="768">
        <v>15.2</v>
      </c>
      <c r="AW791" s="765">
        <v>61.5</v>
      </c>
      <c r="AX791" s="765">
        <v>484</v>
      </c>
      <c r="AY791" s="765">
        <v>120</v>
      </c>
      <c r="AZ791" s="765">
        <v>737</v>
      </c>
      <c r="BA791" s="765">
        <v>4.0999999999999996</v>
      </c>
      <c r="BB791" s="765">
        <v>63.5</v>
      </c>
      <c r="BC791" s="765">
        <v>24.8</v>
      </c>
      <c r="BD791" s="765">
        <v>112</v>
      </c>
      <c r="BE791" s="767">
        <v>0.1732309892910264</v>
      </c>
      <c r="BF791" s="768">
        <v>291.2</v>
      </c>
      <c r="BG791" s="765">
        <v>452</v>
      </c>
      <c r="BH791" s="765">
        <v>86.9</v>
      </c>
      <c r="BI791" s="765"/>
      <c r="BJ791" s="765"/>
      <c r="BK791" s="765"/>
      <c r="BL791" s="771"/>
    </row>
    <row r="792" spans="35:64" x14ac:dyDescent="0.3">
      <c r="AI792" s="763" t="s">
        <v>1399</v>
      </c>
      <c r="AJ792" s="764">
        <v>4370</v>
      </c>
      <c r="AK792" s="765">
        <v>203</v>
      </c>
      <c r="AL792" s="765">
        <v>11.2</v>
      </c>
      <c r="AM792" s="765">
        <v>106</v>
      </c>
      <c r="AN792" s="765">
        <v>10.8</v>
      </c>
      <c r="AO792" s="765" t="s">
        <v>1400</v>
      </c>
      <c r="AP792" s="765">
        <v>30</v>
      </c>
      <c r="AQ792" s="769">
        <v>16</v>
      </c>
      <c r="AR792" s="770">
        <v>12</v>
      </c>
      <c r="AS792" s="766">
        <v>25.4</v>
      </c>
      <c r="AT792" s="768">
        <v>38</v>
      </c>
      <c r="AU792" s="767">
        <v>4.72</v>
      </c>
      <c r="AV792" s="768">
        <v>29</v>
      </c>
      <c r="AW792" s="765">
        <v>51.4</v>
      </c>
      <c r="AX792" s="765">
        <v>405</v>
      </c>
      <c r="AY792" s="765">
        <v>123</v>
      </c>
      <c r="AZ792" s="765">
        <v>690</v>
      </c>
      <c r="BA792" s="765">
        <v>3.88</v>
      </c>
      <c r="BB792" s="765">
        <v>61.2</v>
      </c>
      <c r="BC792" s="765">
        <v>25.3</v>
      </c>
      <c r="BD792" s="765">
        <v>105</v>
      </c>
      <c r="BE792" s="767">
        <v>0.17286509063115041</v>
      </c>
      <c r="BF792" s="768">
        <v>291.2</v>
      </c>
      <c r="BG792" s="765">
        <v>376</v>
      </c>
      <c r="BH792" s="765">
        <v>82.3</v>
      </c>
      <c r="BI792" s="765"/>
      <c r="BJ792" s="765"/>
      <c r="BK792" s="765"/>
      <c r="BL792" s="771"/>
    </row>
    <row r="793" spans="35:64" x14ac:dyDescent="0.3">
      <c r="AI793" s="763" t="s">
        <v>1401</v>
      </c>
      <c r="AJ793" s="764">
        <v>3500</v>
      </c>
      <c r="AK793" s="765">
        <v>203</v>
      </c>
      <c r="AL793" s="765">
        <v>6.9</v>
      </c>
      <c r="AM793" s="765">
        <v>102</v>
      </c>
      <c r="AN793" s="765">
        <v>10.8</v>
      </c>
      <c r="AO793" s="765" t="s">
        <v>1402</v>
      </c>
      <c r="AP793" s="765">
        <v>27</v>
      </c>
      <c r="AQ793" s="769">
        <v>18</v>
      </c>
      <c r="AR793" s="770">
        <v>10</v>
      </c>
      <c r="AS793" s="766">
        <v>23</v>
      </c>
      <c r="AT793" s="768">
        <v>34</v>
      </c>
      <c r="AU793" s="767">
        <v>4.91</v>
      </c>
      <c r="AV793" s="768">
        <v>16.2</v>
      </c>
      <c r="AW793" s="765">
        <v>27</v>
      </c>
      <c r="AX793" s="765">
        <v>266</v>
      </c>
      <c r="AY793" s="765">
        <v>96.1</v>
      </c>
      <c r="AZ793" s="765">
        <v>583</v>
      </c>
      <c r="BA793" s="765">
        <v>3.51</v>
      </c>
      <c r="BB793" s="765">
        <v>55.8</v>
      </c>
      <c r="BC793" s="765">
        <v>23</v>
      </c>
      <c r="BD793" s="765">
        <v>103</v>
      </c>
      <c r="BE793" s="767">
        <v>0.1664261584082169</v>
      </c>
      <c r="BF793" s="768">
        <v>241.5</v>
      </c>
      <c r="BG793" s="765">
        <v>539</v>
      </c>
      <c r="BH793" s="765">
        <v>51.2</v>
      </c>
      <c r="BI793" s="765"/>
      <c r="BJ793" s="765"/>
      <c r="BK793" s="765"/>
      <c r="BL793" s="771"/>
    </row>
    <row r="794" spans="35:64" x14ac:dyDescent="0.3">
      <c r="AI794" s="763" t="s">
        <v>1403</v>
      </c>
      <c r="AJ794" s="764">
        <v>3260</v>
      </c>
      <c r="AK794" s="765">
        <v>152</v>
      </c>
      <c r="AL794" s="765">
        <v>11.8</v>
      </c>
      <c r="AM794" s="765">
        <v>91</v>
      </c>
      <c r="AN794" s="765">
        <v>9.1</v>
      </c>
      <c r="AO794" s="765" t="s">
        <v>1404</v>
      </c>
      <c r="AP794" s="765">
        <v>27</v>
      </c>
      <c r="AQ794" s="769">
        <v>14</v>
      </c>
      <c r="AR794" s="770">
        <v>10</v>
      </c>
      <c r="AS794" s="766">
        <v>18.399999999999999</v>
      </c>
      <c r="AT794" s="768">
        <v>27</v>
      </c>
      <c r="AU794" s="767">
        <v>4.72</v>
      </c>
      <c r="AV794" s="768">
        <v>26.3</v>
      </c>
      <c r="AW794" s="765">
        <v>24</v>
      </c>
      <c r="AX794" s="765">
        <v>237</v>
      </c>
      <c r="AY794" s="765">
        <v>103</v>
      </c>
      <c r="AZ794" s="765">
        <v>465</v>
      </c>
      <c r="BA794" s="765">
        <v>2.8</v>
      </c>
      <c r="BB794" s="765">
        <v>47.5</v>
      </c>
      <c r="BC794" s="765">
        <v>24.1</v>
      </c>
      <c r="BD794" s="765">
        <v>81.3</v>
      </c>
      <c r="BE794" s="767">
        <v>0.1625521893578509</v>
      </c>
      <c r="BF794" s="768">
        <v>241.5</v>
      </c>
      <c r="BG794" s="765">
        <v>250</v>
      </c>
      <c r="BH794" s="765">
        <v>40.9</v>
      </c>
      <c r="BI794" s="765"/>
      <c r="BJ794" s="765"/>
      <c r="BK794" s="765"/>
      <c r="BL794" s="771"/>
    </row>
    <row r="795" spans="35:64" x14ac:dyDescent="0.3">
      <c r="AI795" s="763" t="s">
        <v>1405</v>
      </c>
      <c r="AJ795" s="764">
        <v>2370</v>
      </c>
      <c r="AK795" s="765">
        <v>152</v>
      </c>
      <c r="AL795" s="765">
        <v>5.9</v>
      </c>
      <c r="AM795" s="765">
        <v>85</v>
      </c>
      <c r="AN795" s="765">
        <v>9.1</v>
      </c>
      <c r="AO795" s="765" t="s">
        <v>1406</v>
      </c>
      <c r="AP795" s="765">
        <v>24</v>
      </c>
      <c r="AQ795" s="769">
        <v>15</v>
      </c>
      <c r="AR795" s="770">
        <v>8</v>
      </c>
      <c r="AS795" s="766">
        <v>17.25</v>
      </c>
      <c r="AT795" s="768">
        <v>26</v>
      </c>
      <c r="AU795" s="767">
        <v>5</v>
      </c>
      <c r="AV795" s="768">
        <v>11.3</v>
      </c>
      <c r="AW795" s="765">
        <v>10.9</v>
      </c>
      <c r="AX795" s="765">
        <v>143</v>
      </c>
      <c r="AY795" s="765">
        <v>78.599999999999994</v>
      </c>
      <c r="AZ795" s="765">
        <v>316</v>
      </c>
      <c r="BA795" s="765">
        <v>1.79</v>
      </c>
      <c r="BB795" s="765">
        <v>33.799999999999997</v>
      </c>
      <c r="BC795" s="765">
        <v>20.2</v>
      </c>
      <c r="BD795" s="765">
        <v>60.4</v>
      </c>
      <c r="BE795" s="767">
        <v>0.14293659277829321</v>
      </c>
      <c r="BF795" s="768">
        <v>192.2</v>
      </c>
      <c r="BG795" s="765">
        <v>229</v>
      </c>
      <c r="BH795" s="765">
        <v>16.5</v>
      </c>
      <c r="BI795" s="765"/>
      <c r="BJ795" s="765"/>
      <c r="BK795" s="765"/>
      <c r="BL795" s="771"/>
    </row>
    <row r="796" spans="35:64" x14ac:dyDescent="0.3">
      <c r="AI796" s="763" t="s">
        <v>1407</v>
      </c>
      <c r="AJ796" s="764">
        <v>1890</v>
      </c>
      <c r="AK796" s="765">
        <v>127</v>
      </c>
      <c r="AL796" s="765">
        <v>5.4</v>
      </c>
      <c r="AM796" s="765">
        <v>76</v>
      </c>
      <c r="AN796" s="765">
        <v>8.3000000000000007</v>
      </c>
      <c r="AO796" s="765" t="s">
        <v>1408</v>
      </c>
      <c r="AP796" s="765">
        <v>24</v>
      </c>
      <c r="AQ796" s="769">
        <v>13</v>
      </c>
      <c r="AR796" s="769">
        <v>8</v>
      </c>
      <c r="AS796" s="766">
        <v>12.5</v>
      </c>
      <c r="AT796" s="768">
        <v>19</v>
      </c>
      <c r="AU796" s="767">
        <v>4.67</v>
      </c>
      <c r="AV796" s="768">
        <v>22.7</v>
      </c>
      <c r="AW796" s="765">
        <v>9.16</v>
      </c>
      <c r="AX796" s="765">
        <v>121</v>
      </c>
      <c r="AY796" s="765">
        <v>82.9</v>
      </c>
      <c r="AZ796" s="765">
        <v>272</v>
      </c>
      <c r="BA796" s="765">
        <v>1.56</v>
      </c>
      <c r="BB796" s="765">
        <v>30.7</v>
      </c>
      <c r="BC796" s="765">
        <v>21.1</v>
      </c>
      <c r="BD796" s="765">
        <v>52.4</v>
      </c>
      <c r="BE796" s="767">
        <v>0.14141569088502021</v>
      </c>
      <c r="BF796" s="768">
        <v>192.2</v>
      </c>
      <c r="BG796" s="765">
        <v>140</v>
      </c>
      <c r="BH796" s="765">
        <v>14.4</v>
      </c>
      <c r="BI796" s="765"/>
      <c r="BJ796" s="765"/>
      <c r="BK796" s="765"/>
      <c r="BL796" s="771"/>
    </row>
    <row r="797" spans="35:64" x14ac:dyDescent="0.3">
      <c r="AI797" s="763" t="s">
        <v>1409</v>
      </c>
      <c r="AJ797" s="764">
        <v>1810</v>
      </c>
      <c r="AK797" s="765">
        <v>102</v>
      </c>
      <c r="AL797" s="765">
        <v>8.3000000000000007</v>
      </c>
      <c r="AM797" s="765">
        <v>71</v>
      </c>
      <c r="AN797" s="765">
        <v>7.4</v>
      </c>
      <c r="AO797" s="765" t="s">
        <v>1410</v>
      </c>
      <c r="AP797" s="765">
        <v>20</v>
      </c>
      <c r="AQ797" s="769">
        <v>13</v>
      </c>
      <c r="AR797" s="769">
        <v>6</v>
      </c>
      <c r="AS797" s="766">
        <v>10</v>
      </c>
      <c r="AT797" s="768">
        <v>15</v>
      </c>
      <c r="AU797" s="767">
        <v>4.58</v>
      </c>
      <c r="AV797" s="768">
        <v>20.399999999999999</v>
      </c>
      <c r="AW797" s="765">
        <v>5.1100000000000003</v>
      </c>
      <c r="AX797" s="765">
        <v>80.5</v>
      </c>
      <c r="AY797" s="765">
        <v>57.8</v>
      </c>
      <c r="AZ797" s="765">
        <v>173</v>
      </c>
      <c r="BA797" s="765">
        <v>0.96899999999999997</v>
      </c>
      <c r="BB797" s="765">
        <v>21.3</v>
      </c>
      <c r="BC797" s="765">
        <v>17.2</v>
      </c>
      <c r="BD797" s="765">
        <v>38.9</v>
      </c>
      <c r="BE797" s="767">
        <v>0.1237554191033915</v>
      </c>
      <c r="BF797" s="768">
        <v>142.9</v>
      </c>
      <c r="BG797" s="765">
        <v>152</v>
      </c>
      <c r="BH797" s="765">
        <v>4.95</v>
      </c>
      <c r="BI797" s="765"/>
      <c r="BJ797" s="765"/>
      <c r="BK797" s="765"/>
      <c r="BL797" s="771"/>
    </row>
    <row r="798" spans="35:64" x14ac:dyDescent="0.3">
      <c r="AI798" s="763" t="s">
        <v>1411</v>
      </c>
      <c r="AJ798" s="764">
        <v>1470</v>
      </c>
      <c r="AK798" s="765">
        <v>102</v>
      </c>
      <c r="AL798" s="765">
        <v>4.9000000000000004</v>
      </c>
      <c r="AM798" s="765">
        <v>68</v>
      </c>
      <c r="AN798" s="765">
        <v>7.4</v>
      </c>
      <c r="AO798" s="765" t="s">
        <v>1412</v>
      </c>
      <c r="AP798" s="765">
        <v>20</v>
      </c>
      <c r="AQ798" s="769">
        <v>10</v>
      </c>
      <c r="AR798" s="770">
        <v>6</v>
      </c>
      <c r="AS798" s="766">
        <v>9.5</v>
      </c>
      <c r="AT798" s="768">
        <v>14.1</v>
      </c>
      <c r="AU798" s="767">
        <v>4.8</v>
      </c>
      <c r="AV798" s="768">
        <v>10.5</v>
      </c>
      <c r="AW798" s="765">
        <v>2.85</v>
      </c>
      <c r="AX798" s="765">
        <v>55.9</v>
      </c>
      <c r="AY798" s="765">
        <v>62.2</v>
      </c>
      <c r="AZ798" s="765">
        <v>138</v>
      </c>
      <c r="BA798" s="765">
        <v>0.76500000000000001</v>
      </c>
      <c r="BB798" s="765">
        <v>18</v>
      </c>
      <c r="BC798" s="765">
        <v>18</v>
      </c>
      <c r="BD798" s="765">
        <v>30.6</v>
      </c>
      <c r="BE798" s="767">
        <v>0.1194782424419179</v>
      </c>
      <c r="BF798" s="768">
        <v>142.9</v>
      </c>
      <c r="BG798" s="765">
        <v>68.5</v>
      </c>
      <c r="BH798" s="765">
        <v>3.9</v>
      </c>
      <c r="BI798" s="765"/>
      <c r="BJ798" s="765"/>
      <c r="BK798" s="765"/>
      <c r="BL798" s="771"/>
    </row>
    <row r="799" spans="35:64" x14ac:dyDescent="0.3">
      <c r="AI799" s="763" t="s">
        <v>1413</v>
      </c>
      <c r="AJ799" s="764">
        <v>1430</v>
      </c>
      <c r="AK799" s="765">
        <v>76</v>
      </c>
      <c r="AL799" s="765">
        <v>8.9</v>
      </c>
      <c r="AM799" s="765">
        <v>64</v>
      </c>
      <c r="AN799" s="765">
        <v>6.6</v>
      </c>
      <c r="AO799" s="765" t="s">
        <v>1414</v>
      </c>
      <c r="AP799" s="765">
        <v>19</v>
      </c>
      <c r="AQ799" s="769">
        <v>10</v>
      </c>
      <c r="AR799" s="770">
        <v>5</v>
      </c>
      <c r="AS799" s="766">
        <v>7.7</v>
      </c>
      <c r="AT799" s="768">
        <v>11</v>
      </c>
      <c r="AU799" s="767">
        <v>4.59</v>
      </c>
      <c r="AV799" s="768">
        <v>17.8</v>
      </c>
      <c r="AW799" s="765">
        <v>2.56</v>
      </c>
      <c r="AX799" s="765">
        <v>50.3</v>
      </c>
      <c r="AY799" s="765">
        <v>52</v>
      </c>
      <c r="AZ799" s="765">
        <v>92.7</v>
      </c>
      <c r="BA799" s="765">
        <v>0.501</v>
      </c>
      <c r="BB799" s="765">
        <v>13.2</v>
      </c>
      <c r="BC799" s="765">
        <v>16.3</v>
      </c>
      <c r="BD799" s="765">
        <v>22.3</v>
      </c>
      <c r="BE799" s="767">
        <v>0.10800395475526239</v>
      </c>
      <c r="BF799" s="768">
        <v>118.7</v>
      </c>
      <c r="BG799" s="765">
        <v>47</v>
      </c>
      <c r="BH799" s="765">
        <v>1.76</v>
      </c>
      <c r="BI799" s="765"/>
      <c r="BJ799" s="765"/>
      <c r="BK799" s="765"/>
      <c r="BL799" s="771"/>
    </row>
    <row r="800" spans="35:64" x14ac:dyDescent="0.3">
      <c r="AI800" s="785" t="s">
        <v>1415</v>
      </c>
      <c r="AJ800" s="786">
        <v>1070</v>
      </c>
      <c r="AK800" s="787">
        <v>76</v>
      </c>
      <c r="AL800" s="787">
        <v>4.3</v>
      </c>
      <c r="AM800" s="787">
        <v>59</v>
      </c>
      <c r="AN800" s="787">
        <v>6.6</v>
      </c>
      <c r="AO800" s="765" t="s">
        <v>1416</v>
      </c>
      <c r="AP800" s="765">
        <v>18</v>
      </c>
      <c r="AQ800" s="769">
        <v>12</v>
      </c>
      <c r="AR800" s="770">
        <v>4</v>
      </c>
      <c r="AS800" s="766">
        <v>7.5</v>
      </c>
      <c r="AT800" s="768">
        <v>11</v>
      </c>
      <c r="AU800" s="767">
        <v>4.8499999999999996</v>
      </c>
      <c r="AV800" s="768">
        <v>7.06</v>
      </c>
      <c r="AW800" s="765">
        <v>1.22</v>
      </c>
      <c r="AX800" s="765">
        <v>32</v>
      </c>
      <c r="AY800" s="765">
        <v>39.700000000000003</v>
      </c>
      <c r="AZ800" s="765">
        <v>66.599999999999994</v>
      </c>
      <c r="BA800" s="765">
        <v>0.372</v>
      </c>
      <c r="BB800" s="765">
        <v>10.5</v>
      </c>
      <c r="BC800" s="765">
        <v>14.3</v>
      </c>
      <c r="BD800" s="765">
        <v>18.399999999999999</v>
      </c>
      <c r="BE800" s="767">
        <v>9.9760969852714348E-2</v>
      </c>
      <c r="BF800" s="768">
        <v>94.6</v>
      </c>
      <c r="BG800" s="765">
        <v>50.6</v>
      </c>
      <c r="BH800" s="765">
        <v>0.83199999999999996</v>
      </c>
      <c r="BI800" s="765"/>
      <c r="BJ800" s="765"/>
      <c r="BK800" s="765"/>
      <c r="BL800" s="771"/>
    </row>
    <row r="801" spans="35:64" x14ac:dyDescent="0.3">
      <c r="AI801" s="9" t="s">
        <v>1417</v>
      </c>
      <c r="AJ801" s="10">
        <v>2240</v>
      </c>
      <c r="AK801" s="11">
        <v>305</v>
      </c>
      <c r="AL801" s="11">
        <v>4.5</v>
      </c>
      <c r="AM801" s="11">
        <v>78</v>
      </c>
      <c r="AN801" s="11">
        <v>5.7</v>
      </c>
      <c r="AO801" s="765" t="s">
        <v>1418</v>
      </c>
      <c r="AP801" s="765">
        <v>18</v>
      </c>
      <c r="AQ801" s="769">
        <v>10</v>
      </c>
      <c r="AR801" s="770">
        <v>4</v>
      </c>
      <c r="AS801" s="788">
        <v>5.7</v>
      </c>
      <c r="AT801" s="790">
        <v>8</v>
      </c>
      <c r="AU801" s="789">
        <v>4.47</v>
      </c>
      <c r="AV801" s="790">
        <v>14.6</v>
      </c>
      <c r="AW801" s="787">
        <v>1.04</v>
      </c>
      <c r="AX801" s="787">
        <v>27.4</v>
      </c>
      <c r="AY801" s="765">
        <v>41.8</v>
      </c>
      <c r="AZ801" s="765">
        <v>58</v>
      </c>
      <c r="BA801" s="765">
        <v>0.32</v>
      </c>
      <c r="BB801" s="765">
        <v>9.4</v>
      </c>
      <c r="BC801" s="765">
        <v>14.8</v>
      </c>
      <c r="BD801" s="765">
        <v>15.9</v>
      </c>
      <c r="BE801" s="767">
        <v>9.7516928206135348E-2</v>
      </c>
      <c r="BF801" s="768">
        <v>94.6</v>
      </c>
      <c r="BG801" s="765">
        <v>30.7</v>
      </c>
      <c r="BH801" s="765">
        <v>0.71499999999999997</v>
      </c>
      <c r="BI801" s="765"/>
      <c r="BJ801" s="765"/>
      <c r="BK801" s="765"/>
      <c r="BL801" s="771"/>
    </row>
    <row r="802" spans="35:64" x14ac:dyDescent="0.3">
      <c r="AI802" s="763" t="s">
        <v>1419</v>
      </c>
      <c r="AJ802" s="764">
        <v>2060</v>
      </c>
      <c r="AK802" s="765">
        <v>304</v>
      </c>
      <c r="AL802" s="765">
        <v>4.0999999999999996</v>
      </c>
      <c r="AM802" s="765">
        <v>78</v>
      </c>
      <c r="AN802" s="765">
        <v>5.3</v>
      </c>
      <c r="AO802" s="765" t="s">
        <v>1420</v>
      </c>
      <c r="AP802" s="765">
        <v>16</v>
      </c>
      <c r="AQ802" s="769">
        <v>11</v>
      </c>
      <c r="AR802" s="770">
        <v>3</v>
      </c>
      <c r="AS802" s="15">
        <v>11.8</v>
      </c>
      <c r="AT802" s="16">
        <v>17.600000000000001</v>
      </c>
      <c r="AU802" s="17">
        <v>6.84</v>
      </c>
      <c r="AV802" s="16">
        <v>65.2</v>
      </c>
      <c r="AW802" s="11">
        <v>30.1</v>
      </c>
      <c r="AX802" s="11">
        <v>197</v>
      </c>
      <c r="AY802" s="765">
        <v>29.2</v>
      </c>
      <c r="AZ802" s="765">
        <v>38.700000000000003</v>
      </c>
      <c r="BA802" s="765">
        <v>0.246</v>
      </c>
      <c r="BB802" s="765">
        <v>7.68</v>
      </c>
      <c r="BC802" s="765">
        <v>13.1</v>
      </c>
      <c r="BD802" s="765">
        <v>13.6</v>
      </c>
      <c r="BE802" s="767">
        <v>9.1829393375767565E-2</v>
      </c>
      <c r="BF802" s="768">
        <v>69.400000000000006</v>
      </c>
      <c r="BG802" s="765">
        <v>38.1</v>
      </c>
      <c r="BH802" s="765">
        <v>0.29599999999999999</v>
      </c>
      <c r="BI802" s="765"/>
      <c r="BJ802" s="765"/>
      <c r="BK802" s="765"/>
      <c r="BL802" s="771"/>
    </row>
    <row r="803" spans="35:64" x14ac:dyDescent="0.3">
      <c r="AI803" s="763" t="s">
        <v>1421</v>
      </c>
      <c r="AJ803" s="764">
        <v>1910</v>
      </c>
      <c r="AK803" s="765">
        <v>304</v>
      </c>
      <c r="AL803" s="765">
        <v>3.8</v>
      </c>
      <c r="AM803" s="765">
        <v>83</v>
      </c>
      <c r="AN803" s="765">
        <v>4.5999999999999996</v>
      </c>
      <c r="AO803" s="787" t="s">
        <v>1422</v>
      </c>
      <c r="AP803" s="787">
        <v>16</v>
      </c>
      <c r="AQ803" s="792">
        <v>9</v>
      </c>
      <c r="AR803" s="793">
        <v>3</v>
      </c>
      <c r="AS803" s="766">
        <v>10.8</v>
      </c>
      <c r="AT803" s="768">
        <v>16.100000000000001</v>
      </c>
      <c r="AU803" s="767">
        <v>7.36</v>
      </c>
      <c r="AV803" s="768">
        <v>71.599999999999994</v>
      </c>
      <c r="AW803" s="765">
        <v>27.7</v>
      </c>
      <c r="AX803" s="765">
        <v>182</v>
      </c>
      <c r="AY803" s="787">
        <v>31.2</v>
      </c>
      <c r="AZ803" s="787">
        <v>31.8</v>
      </c>
      <c r="BA803" s="787">
        <v>0.187</v>
      </c>
      <c r="BB803" s="787">
        <v>6.34</v>
      </c>
      <c r="BC803" s="787">
        <v>13.2</v>
      </c>
      <c r="BD803" s="787">
        <v>10.6</v>
      </c>
      <c r="BE803" s="789">
        <v>8.6522836732229116E-2</v>
      </c>
      <c r="BF803" s="790">
        <v>69.400000000000006</v>
      </c>
      <c r="BG803" s="787">
        <v>18.2</v>
      </c>
      <c r="BH803" s="787">
        <v>0.22500000000000001</v>
      </c>
      <c r="BI803" s="787"/>
      <c r="BJ803" s="787"/>
      <c r="BK803" s="787"/>
      <c r="BL803" s="794"/>
    </row>
    <row r="804" spans="35:64" x14ac:dyDescent="0.3">
      <c r="AI804" s="763" t="s">
        <v>1423</v>
      </c>
      <c r="AJ804" s="764">
        <v>1710</v>
      </c>
      <c r="AK804" s="765">
        <v>254</v>
      </c>
      <c r="AL804" s="765">
        <v>4</v>
      </c>
      <c r="AM804" s="765">
        <v>68</v>
      </c>
      <c r="AN804" s="765">
        <v>5.2</v>
      </c>
      <c r="AO804" s="11" t="s">
        <v>1424</v>
      </c>
      <c r="AP804" s="11">
        <v>14</v>
      </c>
      <c r="AQ804" s="13">
        <v>9</v>
      </c>
      <c r="AR804" s="14">
        <v>12</v>
      </c>
      <c r="AS804" s="766">
        <v>10</v>
      </c>
      <c r="AT804" s="768">
        <v>14.9</v>
      </c>
      <c r="AU804" s="767">
        <v>9.02</v>
      </c>
      <c r="AV804" s="768">
        <v>77.599999999999994</v>
      </c>
      <c r="AW804" s="765">
        <v>25.8</v>
      </c>
      <c r="AX804" s="765">
        <v>170</v>
      </c>
      <c r="AY804" s="11">
        <v>116</v>
      </c>
      <c r="AZ804" s="11">
        <v>235</v>
      </c>
      <c r="BA804" s="11">
        <v>0.45300000000000001</v>
      </c>
      <c r="BB804" s="11">
        <v>11.6</v>
      </c>
      <c r="BC804" s="11">
        <v>14.2</v>
      </c>
      <c r="BD804" s="11">
        <v>18.8</v>
      </c>
      <c r="BE804" s="17">
        <v>0.1042009745747477</v>
      </c>
      <c r="BF804" s="17">
        <v>299.3</v>
      </c>
      <c r="BG804" s="11">
        <v>20.8</v>
      </c>
      <c r="BH804" s="11">
        <v>10.1</v>
      </c>
      <c r="BI804" s="11"/>
      <c r="BJ804" s="11"/>
      <c r="BK804" s="11"/>
      <c r="BL804" s="18"/>
    </row>
    <row r="805" spans="35:64" x14ac:dyDescent="0.3">
      <c r="AI805" s="763" t="s">
        <v>1425</v>
      </c>
      <c r="AJ805" s="764">
        <v>1530</v>
      </c>
      <c r="AK805" s="765">
        <v>253</v>
      </c>
      <c r="AL805" s="765">
        <v>3.6</v>
      </c>
      <c r="AM805" s="765">
        <v>68</v>
      </c>
      <c r="AN805" s="765">
        <v>4.5999999999999996</v>
      </c>
      <c r="AO805" s="765" t="s">
        <v>1426</v>
      </c>
      <c r="AP805" s="765">
        <v>14</v>
      </c>
      <c r="AQ805" s="769">
        <v>9</v>
      </c>
      <c r="AR805" s="770">
        <v>12</v>
      </c>
      <c r="AS805" s="766">
        <v>9</v>
      </c>
      <c r="AT805" s="768">
        <v>13.4</v>
      </c>
      <c r="AU805" s="767">
        <v>6.54</v>
      </c>
      <c r="AV805" s="768">
        <v>60.9</v>
      </c>
      <c r="AW805" s="765">
        <v>16.2</v>
      </c>
      <c r="AX805" s="765">
        <v>127</v>
      </c>
      <c r="AY805" s="765">
        <v>116</v>
      </c>
      <c r="AZ805" s="765">
        <v>216</v>
      </c>
      <c r="BA805" s="765">
        <v>0.42099999999999999</v>
      </c>
      <c r="BB805" s="765">
        <v>10.8</v>
      </c>
      <c r="BC805" s="765">
        <v>14.3</v>
      </c>
      <c r="BD805" s="765">
        <v>17.399999999999999</v>
      </c>
      <c r="BE805" s="767">
        <v>0.1045204396926749</v>
      </c>
      <c r="BF805" s="767">
        <v>298.7</v>
      </c>
      <c r="BG805" s="765">
        <v>16.3</v>
      </c>
      <c r="BH805" s="765">
        <v>9.39</v>
      </c>
      <c r="BI805" s="765"/>
      <c r="BJ805" s="765"/>
      <c r="BK805" s="765"/>
      <c r="BL805" s="771"/>
    </row>
    <row r="806" spans="35:64" x14ac:dyDescent="0.3">
      <c r="AI806" s="763" t="s">
        <v>1427</v>
      </c>
      <c r="AJ806" s="764">
        <v>1430</v>
      </c>
      <c r="AK806" s="765">
        <v>254</v>
      </c>
      <c r="AL806" s="765">
        <v>3.3</v>
      </c>
      <c r="AM806" s="765">
        <v>68</v>
      </c>
      <c r="AN806" s="765">
        <v>4.4000000000000004</v>
      </c>
      <c r="AO806" s="765" t="s">
        <v>1428</v>
      </c>
      <c r="AP806" s="765">
        <v>12</v>
      </c>
      <c r="AQ806" s="769">
        <v>8</v>
      </c>
      <c r="AR806" s="769">
        <v>12</v>
      </c>
      <c r="AS806" s="766">
        <v>8</v>
      </c>
      <c r="AT806" s="768">
        <v>11.9</v>
      </c>
      <c r="AU806" s="767">
        <v>7.39</v>
      </c>
      <c r="AV806" s="767">
        <v>67.7</v>
      </c>
      <c r="AW806" s="765">
        <v>14.4</v>
      </c>
      <c r="AX806" s="765">
        <v>114</v>
      </c>
      <c r="AY806" s="765">
        <v>116</v>
      </c>
      <c r="AZ806" s="765">
        <v>201</v>
      </c>
      <c r="BA806" s="765">
        <v>0.44</v>
      </c>
      <c r="BB806" s="765">
        <v>10.6</v>
      </c>
      <c r="BC806" s="765">
        <v>15.2</v>
      </c>
      <c r="BD806" s="765">
        <v>16.899999999999999</v>
      </c>
      <c r="BE806" s="773">
        <v>0.1106618091691884</v>
      </c>
      <c r="BF806" s="767">
        <v>299.39999999999998</v>
      </c>
      <c r="BG806" s="765">
        <v>12.1</v>
      </c>
      <c r="BH806" s="765">
        <v>9.85</v>
      </c>
      <c r="BI806" s="765"/>
      <c r="BJ806" s="765"/>
      <c r="BK806" s="765"/>
      <c r="BL806" s="771"/>
    </row>
    <row r="807" spans="35:64" x14ac:dyDescent="0.3">
      <c r="AI807" s="763" t="s">
        <v>1429</v>
      </c>
      <c r="AJ807" s="764">
        <v>1230</v>
      </c>
      <c r="AK807" s="765">
        <v>203</v>
      </c>
      <c r="AL807" s="765">
        <v>3.4</v>
      </c>
      <c r="AM807" s="765">
        <v>58</v>
      </c>
      <c r="AN807" s="765">
        <v>4.8</v>
      </c>
      <c r="AO807" s="765" t="s">
        <v>1430</v>
      </c>
      <c r="AP807" s="765">
        <v>14</v>
      </c>
      <c r="AQ807" s="765">
        <v>9</v>
      </c>
      <c r="AR807" s="765">
        <v>10</v>
      </c>
      <c r="AS807" s="766">
        <v>7.5</v>
      </c>
      <c r="AT807" s="768">
        <v>11.2</v>
      </c>
      <c r="AU807" s="767">
        <v>7.73</v>
      </c>
      <c r="AV807" s="768">
        <v>74.3</v>
      </c>
      <c r="AW807" s="765">
        <v>13.7</v>
      </c>
      <c r="AX807" s="765">
        <v>108</v>
      </c>
      <c r="AY807" s="765">
        <v>97.2</v>
      </c>
      <c r="AZ807" s="765">
        <v>151</v>
      </c>
      <c r="BA807" s="765">
        <v>0.27400000000000002</v>
      </c>
      <c r="BB807" s="765">
        <v>8.0500000000000007</v>
      </c>
      <c r="BC807" s="765">
        <v>12.7</v>
      </c>
      <c r="BD807" s="765">
        <v>13</v>
      </c>
      <c r="BE807" s="773">
        <v>9.2124945591524537E-2</v>
      </c>
      <c r="BF807" s="767">
        <v>248.8</v>
      </c>
      <c r="BG807" s="765">
        <v>13.1</v>
      </c>
      <c r="BH807" s="765">
        <v>4.24</v>
      </c>
      <c r="BI807" s="765"/>
      <c r="BJ807" s="765"/>
      <c r="BK807" s="765"/>
      <c r="BL807" s="771"/>
    </row>
    <row r="808" spans="35:64" x14ac:dyDescent="0.3">
      <c r="AI808" s="763" t="s">
        <v>1431</v>
      </c>
      <c r="AJ808" s="764">
        <v>1180</v>
      </c>
      <c r="AK808" s="765">
        <v>203</v>
      </c>
      <c r="AL808" s="765">
        <v>3.3</v>
      </c>
      <c r="AM808" s="765">
        <v>58</v>
      </c>
      <c r="AN808" s="765">
        <v>4.5</v>
      </c>
      <c r="AO808" s="765" t="s">
        <v>1432</v>
      </c>
      <c r="AP808" s="765">
        <v>13</v>
      </c>
      <c r="AQ808" s="769">
        <v>9</v>
      </c>
      <c r="AR808" s="770">
        <v>10</v>
      </c>
      <c r="AS808" s="766">
        <v>6.5</v>
      </c>
      <c r="AT808" s="768">
        <v>9.6999999999999993</v>
      </c>
      <c r="AU808" s="767">
        <v>6.04</v>
      </c>
      <c r="AV808" s="768">
        <v>56.9</v>
      </c>
      <c r="AW808" s="765">
        <v>7.7</v>
      </c>
      <c r="AX808" s="765">
        <v>75.900000000000006</v>
      </c>
      <c r="AY808" s="765">
        <v>96.9</v>
      </c>
      <c r="AZ808" s="765">
        <v>134</v>
      </c>
      <c r="BA808" s="765">
        <v>0.24199999999999999</v>
      </c>
      <c r="BB808" s="765">
        <v>7.12</v>
      </c>
      <c r="BC808" s="765">
        <v>12.6</v>
      </c>
      <c r="BD808" s="765">
        <v>11.4</v>
      </c>
      <c r="BE808" s="773">
        <v>9.1291138613908723E-2</v>
      </c>
      <c r="BF808" s="767">
        <v>248.4</v>
      </c>
      <c r="BG808" s="765">
        <v>9.35</v>
      </c>
      <c r="BH808" s="765">
        <v>3.73</v>
      </c>
      <c r="BI808" s="765"/>
      <c r="BJ808" s="765"/>
      <c r="BK808" s="765"/>
      <c r="BL808" s="771"/>
    </row>
    <row r="809" spans="35:64" x14ac:dyDescent="0.3">
      <c r="AI809" s="763" t="s">
        <v>1433</v>
      </c>
      <c r="AJ809" s="764">
        <v>834</v>
      </c>
      <c r="AK809" s="765">
        <v>152</v>
      </c>
      <c r="AL809" s="765">
        <v>2.9</v>
      </c>
      <c r="AM809" s="765">
        <v>47</v>
      </c>
      <c r="AN809" s="765">
        <v>4.3</v>
      </c>
      <c r="AO809" s="765" t="s">
        <v>1434</v>
      </c>
      <c r="AP809" s="765">
        <v>11</v>
      </c>
      <c r="AQ809" s="769">
        <v>7</v>
      </c>
      <c r="AR809" s="770">
        <v>10</v>
      </c>
      <c r="AS809" s="766">
        <v>6.2</v>
      </c>
      <c r="AT809" s="767">
        <v>9.1999999999999993</v>
      </c>
      <c r="AU809" s="767">
        <v>6.44</v>
      </c>
      <c r="AV809" s="767">
        <v>58.8</v>
      </c>
      <c r="AW809" s="765">
        <v>7.3</v>
      </c>
      <c r="AX809" s="765">
        <v>71.900000000000006</v>
      </c>
      <c r="AY809" s="765">
        <v>97.9</v>
      </c>
      <c r="AZ809" s="765">
        <v>127</v>
      </c>
      <c r="BA809" s="765">
        <v>0.23100000000000001</v>
      </c>
      <c r="BB809" s="765">
        <v>6.8</v>
      </c>
      <c r="BC809" s="765">
        <v>12.7</v>
      </c>
      <c r="BD809" s="765">
        <v>10.8</v>
      </c>
      <c r="BE809" s="773">
        <v>9.1889680697292489E-2</v>
      </c>
      <c r="BF809" s="767">
        <v>249.6</v>
      </c>
      <c r="BG809" s="765">
        <v>7.77</v>
      </c>
      <c r="BH809" s="765">
        <v>3.6</v>
      </c>
      <c r="BI809" s="765"/>
      <c r="BJ809" s="765"/>
      <c r="BK809" s="765"/>
      <c r="BL809" s="771"/>
    </row>
    <row r="810" spans="35:64" x14ac:dyDescent="0.3">
      <c r="AI810" s="763" t="s">
        <v>1435</v>
      </c>
      <c r="AJ810" s="764">
        <v>706</v>
      </c>
      <c r="AK810" s="765">
        <v>150</v>
      </c>
      <c r="AL810" s="765">
        <v>2.5</v>
      </c>
      <c r="AM810" s="765">
        <v>51</v>
      </c>
      <c r="AN810" s="765">
        <v>3.3</v>
      </c>
      <c r="AO810" s="765" t="s">
        <v>1436</v>
      </c>
      <c r="AP810" s="765">
        <v>14</v>
      </c>
      <c r="AQ810" s="769">
        <v>9</v>
      </c>
      <c r="AR810" s="770">
        <v>8</v>
      </c>
      <c r="AS810" s="766">
        <v>4.4000000000000004</v>
      </c>
      <c r="AT810" s="767">
        <v>6.6</v>
      </c>
      <c r="AU810" s="767">
        <v>5.47</v>
      </c>
      <c r="AV810" s="768">
        <v>49.4</v>
      </c>
      <c r="AW810" s="765">
        <v>2.99</v>
      </c>
      <c r="AX810" s="765">
        <v>39.299999999999997</v>
      </c>
      <c r="AY810" s="765">
        <v>79</v>
      </c>
      <c r="AZ810" s="765">
        <v>88.9</v>
      </c>
      <c r="BA810" s="765">
        <v>0.157</v>
      </c>
      <c r="BB810" s="765">
        <v>5.4</v>
      </c>
      <c r="BC810" s="765">
        <v>11.3</v>
      </c>
      <c r="BD810" s="765">
        <v>8.6300000000000008</v>
      </c>
      <c r="BE810" s="773">
        <v>8.0488568850106856E-2</v>
      </c>
      <c r="BF810" s="767">
        <v>198.2</v>
      </c>
      <c r="BG810" s="765">
        <v>7.67</v>
      </c>
      <c r="BH810" s="765">
        <v>1.54</v>
      </c>
      <c r="BI810" s="765"/>
      <c r="BJ810" s="765"/>
      <c r="BK810" s="765"/>
      <c r="BL810" s="771"/>
    </row>
    <row r="811" spans="35:64" x14ac:dyDescent="0.3">
      <c r="AI811" s="775" t="s">
        <v>1437</v>
      </c>
      <c r="AJ811" s="776">
        <v>3580</v>
      </c>
      <c r="AK811" s="777">
        <v>127</v>
      </c>
      <c r="AL811" s="777">
        <v>8</v>
      </c>
      <c r="AM811" s="777">
        <v>127</v>
      </c>
      <c r="AN811" s="777">
        <v>10.6</v>
      </c>
      <c r="AO811" s="765" t="s">
        <v>1438</v>
      </c>
      <c r="AP811" s="765">
        <v>10</v>
      </c>
      <c r="AQ811" s="766">
        <v>6</v>
      </c>
      <c r="AR811" s="766">
        <v>8</v>
      </c>
      <c r="AS811" s="766">
        <v>3.7</v>
      </c>
      <c r="AT811" s="767">
        <v>5.5</v>
      </c>
      <c r="AU811" s="767">
        <v>7.73</v>
      </c>
      <c r="AV811" s="767">
        <v>57.4</v>
      </c>
      <c r="AW811" s="765">
        <v>2.48</v>
      </c>
      <c r="AX811" s="765">
        <v>33</v>
      </c>
      <c r="AY811" s="765">
        <v>78.7</v>
      </c>
      <c r="AZ811" s="765">
        <v>84.4</v>
      </c>
      <c r="BA811" s="765">
        <v>0.14699999999999999</v>
      </c>
      <c r="BB811" s="765">
        <v>5.07</v>
      </c>
      <c r="BC811" s="765">
        <v>11.2</v>
      </c>
      <c r="BD811" s="765">
        <v>8.1</v>
      </c>
      <c r="BE811" s="773">
        <v>8.0132167296278575E-2</v>
      </c>
      <c r="BF811" s="767">
        <v>198.5</v>
      </c>
      <c r="BG811" s="765">
        <v>6.48</v>
      </c>
      <c r="BH811" s="765">
        <v>1.45</v>
      </c>
      <c r="BI811" s="765"/>
      <c r="BJ811" s="765"/>
      <c r="BK811" s="765"/>
      <c r="BL811" s="771"/>
    </row>
    <row r="812" spans="35:64" x14ac:dyDescent="0.3">
      <c r="AI812" s="19" t="s">
        <v>1439</v>
      </c>
      <c r="AJ812" s="20">
        <v>1140</v>
      </c>
      <c r="AK812" s="21">
        <v>97</v>
      </c>
      <c r="AL812" s="21">
        <v>3.3</v>
      </c>
      <c r="AM812" s="21">
        <v>97</v>
      </c>
      <c r="AN812" s="21">
        <v>4.0999999999999996</v>
      </c>
      <c r="AO812" s="765" t="s">
        <v>1440</v>
      </c>
      <c r="AP812" s="765">
        <v>9</v>
      </c>
      <c r="AQ812" s="766">
        <v>5</v>
      </c>
      <c r="AR812" s="766">
        <v>6</v>
      </c>
      <c r="AS812" s="778">
        <v>18.899999999999999</v>
      </c>
      <c r="AT812" s="780">
        <v>28.1</v>
      </c>
      <c r="AU812" s="780">
        <v>5.99</v>
      </c>
      <c r="AV812" s="779">
        <v>12.7</v>
      </c>
      <c r="AW812" s="777">
        <v>10</v>
      </c>
      <c r="AX812" s="777">
        <v>158</v>
      </c>
      <c r="AY812" s="765">
        <v>59.8</v>
      </c>
      <c r="AZ812" s="765">
        <v>45.7</v>
      </c>
      <c r="BA812" s="765">
        <v>7.4700000000000003E-2</v>
      </c>
      <c r="BB812" s="765">
        <v>3.18</v>
      </c>
      <c r="BC812" s="765">
        <v>9.4700000000000006</v>
      </c>
      <c r="BD812" s="765">
        <v>5.05</v>
      </c>
      <c r="BE812" s="773">
        <v>6.6608933117753746E-2</v>
      </c>
      <c r="BF812" s="767">
        <v>147.69999999999999</v>
      </c>
      <c r="BG812" s="765">
        <v>4.0999999999999996</v>
      </c>
      <c r="BH812" s="765">
        <v>0.40699999999999997</v>
      </c>
      <c r="BI812" s="765"/>
      <c r="BJ812" s="765"/>
      <c r="BK812" s="765"/>
      <c r="BL812" s="771"/>
    </row>
    <row r="813" spans="35:64" x14ac:dyDescent="0.3">
      <c r="AI813" s="9" t="s">
        <v>1441</v>
      </c>
      <c r="AJ813" s="10">
        <v>22200</v>
      </c>
      <c r="AK813" s="11">
        <v>361</v>
      </c>
      <c r="AL813" s="11">
        <v>20.399999999999999</v>
      </c>
      <c r="AM813" s="11">
        <v>378</v>
      </c>
      <c r="AN813" s="11">
        <v>20.399999999999999</v>
      </c>
      <c r="AO813" s="765" t="s">
        <v>1442</v>
      </c>
      <c r="AP813" s="765">
        <v>8</v>
      </c>
      <c r="AQ813" s="766">
        <v>5</v>
      </c>
      <c r="AR813" s="766">
        <v>6</v>
      </c>
      <c r="AS813" s="22">
        <v>6</v>
      </c>
      <c r="AT813" s="21">
        <v>8.9</v>
      </c>
      <c r="AU813" s="23">
        <v>11.8</v>
      </c>
      <c r="AV813" s="24">
        <v>26.9</v>
      </c>
      <c r="AW813" s="21">
        <v>2</v>
      </c>
      <c r="AX813" s="21">
        <v>41.2</v>
      </c>
      <c r="AY813" s="765">
        <v>59.3</v>
      </c>
      <c r="AZ813" s="765">
        <v>38.299999999999997</v>
      </c>
      <c r="BA813" s="765">
        <v>7.3099999999999998E-2</v>
      </c>
      <c r="BB813" s="765">
        <v>2.87</v>
      </c>
      <c r="BC813" s="765">
        <v>10.199999999999999</v>
      </c>
      <c r="BD813" s="765">
        <v>4.5199999999999996</v>
      </c>
      <c r="BE813" s="773">
        <v>7.1712758727926193E-2</v>
      </c>
      <c r="BF813" s="767">
        <v>146.69999999999999</v>
      </c>
      <c r="BG813" s="765">
        <v>2.21</v>
      </c>
      <c r="BH813" s="765">
        <v>0.39400000000000002</v>
      </c>
      <c r="BI813" s="765"/>
      <c r="BJ813" s="765"/>
      <c r="BK813" s="765"/>
      <c r="BL813" s="771"/>
    </row>
    <row r="814" spans="35:64" x14ac:dyDescent="0.3">
      <c r="AI814" s="763" t="s">
        <v>1443</v>
      </c>
      <c r="AJ814" s="764">
        <v>19400</v>
      </c>
      <c r="AK814" s="765">
        <v>356</v>
      </c>
      <c r="AL814" s="765">
        <v>17.899999999999999</v>
      </c>
      <c r="AM814" s="765">
        <v>376</v>
      </c>
      <c r="AN814" s="765">
        <v>17.899999999999999</v>
      </c>
      <c r="AO814" s="777" t="s">
        <v>1444</v>
      </c>
      <c r="AP814" s="777">
        <v>22</v>
      </c>
      <c r="AQ814" s="778">
        <v>13</v>
      </c>
      <c r="AR814" s="778">
        <v>5</v>
      </c>
      <c r="AS814" s="15">
        <v>117</v>
      </c>
      <c r="AT814" s="11">
        <v>174</v>
      </c>
      <c r="AU814" s="16">
        <v>9.26</v>
      </c>
      <c r="AV814" s="16">
        <v>15.7</v>
      </c>
      <c r="AW814" s="11">
        <v>508</v>
      </c>
      <c r="AX814" s="11">
        <v>2820</v>
      </c>
      <c r="AY814" s="777">
        <v>52.9</v>
      </c>
      <c r="AZ814" s="777">
        <v>181</v>
      </c>
      <c r="BA814" s="777">
        <v>3.29</v>
      </c>
      <c r="BB814" s="777">
        <v>51.8</v>
      </c>
      <c r="BC814" s="777">
        <v>30.3</v>
      </c>
      <c r="BD814" s="777">
        <v>82.3</v>
      </c>
      <c r="BE814" s="781">
        <v>0.19556952264119901</v>
      </c>
      <c r="BF814" s="780">
        <v>116.4</v>
      </c>
      <c r="BG814" s="777">
        <v>142</v>
      </c>
      <c r="BH814" s="777">
        <v>11.1</v>
      </c>
      <c r="BI814" s="777"/>
      <c r="BJ814" s="777"/>
      <c r="BK814" s="777"/>
      <c r="BL814" s="784"/>
    </row>
    <row r="815" spans="35:64" x14ac:dyDescent="0.3">
      <c r="AI815" s="763" t="s">
        <v>1445</v>
      </c>
      <c r="AJ815" s="764">
        <v>16800</v>
      </c>
      <c r="AK815" s="765">
        <v>351</v>
      </c>
      <c r="AL815" s="765">
        <v>15.6</v>
      </c>
      <c r="AM815" s="765">
        <v>373</v>
      </c>
      <c r="AN815" s="765">
        <v>15.6</v>
      </c>
      <c r="AO815" s="21" t="s">
        <v>1446</v>
      </c>
      <c r="AP815" s="21">
        <v>13</v>
      </c>
      <c r="AQ815" s="22">
        <v>9</v>
      </c>
      <c r="AR815" s="22">
        <v>4</v>
      </c>
      <c r="AS815" s="766">
        <v>102</v>
      </c>
      <c r="AT815" s="768">
        <v>152</v>
      </c>
      <c r="AU815" s="768">
        <v>10.5</v>
      </c>
      <c r="AV815" s="768">
        <v>17.899999999999999</v>
      </c>
      <c r="AW815" s="765">
        <v>439</v>
      </c>
      <c r="AX815" s="765">
        <v>2470</v>
      </c>
      <c r="AY815" s="21">
        <v>41.9</v>
      </c>
      <c r="AZ815" s="21">
        <v>45.6</v>
      </c>
      <c r="BA815" s="21">
        <v>0.624</v>
      </c>
      <c r="BB815" s="21">
        <v>12.9</v>
      </c>
      <c r="BC815" s="21">
        <v>23.4</v>
      </c>
      <c r="BD815" s="21">
        <v>19.5</v>
      </c>
      <c r="BE815" s="23">
        <v>0.14925571921899719</v>
      </c>
      <c r="BF815" s="23">
        <v>92.9</v>
      </c>
      <c r="BG815" s="21">
        <v>7.63</v>
      </c>
      <c r="BH815" s="21">
        <v>1.35</v>
      </c>
      <c r="BI815" s="21"/>
      <c r="BJ815" s="21"/>
      <c r="BK815" s="21"/>
      <c r="BL815" s="25"/>
    </row>
    <row r="816" spans="35:64" x14ac:dyDescent="0.3">
      <c r="AI816" s="763" t="s">
        <v>1447</v>
      </c>
      <c r="AJ816" s="764">
        <v>13800</v>
      </c>
      <c r="AK816" s="765">
        <v>346</v>
      </c>
      <c r="AL816" s="765">
        <v>12.8</v>
      </c>
      <c r="AM816" s="765">
        <v>370</v>
      </c>
      <c r="AN816" s="765">
        <v>12.8</v>
      </c>
      <c r="AO816" s="11" t="s">
        <v>1448</v>
      </c>
      <c r="AP816" s="11">
        <v>37</v>
      </c>
      <c r="AQ816" s="15">
        <v>25</v>
      </c>
      <c r="AR816" s="15">
        <v>14</v>
      </c>
      <c r="AS816" s="766">
        <v>89</v>
      </c>
      <c r="AT816" s="768">
        <v>132</v>
      </c>
      <c r="AU816" s="768">
        <v>12</v>
      </c>
      <c r="AV816" s="768">
        <v>20.5</v>
      </c>
      <c r="AW816" s="765">
        <v>375</v>
      </c>
      <c r="AX816" s="765">
        <v>2140</v>
      </c>
      <c r="AY816" s="11">
        <v>152</v>
      </c>
      <c r="AZ816" s="11">
        <v>3180</v>
      </c>
      <c r="BA816" s="11">
        <v>184</v>
      </c>
      <c r="BB816" s="11">
        <v>973</v>
      </c>
      <c r="BC816" s="11">
        <v>91.1</v>
      </c>
      <c r="BD816" s="11">
        <v>1490</v>
      </c>
      <c r="BE816" s="17">
        <v>0.59260007737508269</v>
      </c>
      <c r="BF816" s="17">
        <v>340.6</v>
      </c>
      <c r="BG816" s="11">
        <v>3310</v>
      </c>
      <c r="BH816" s="11">
        <v>5330</v>
      </c>
      <c r="BI816" s="11">
        <v>32200</v>
      </c>
      <c r="BJ816" s="11">
        <v>62</v>
      </c>
      <c r="BK816" s="11">
        <v>621</v>
      </c>
      <c r="BL816" s="18">
        <v>1570</v>
      </c>
    </row>
    <row r="817" spans="35:64" x14ac:dyDescent="0.3">
      <c r="AI817" s="763" t="s">
        <v>1449</v>
      </c>
      <c r="AJ817" s="764">
        <v>15900</v>
      </c>
      <c r="AK817" s="765">
        <v>312</v>
      </c>
      <c r="AL817" s="765">
        <v>17.399999999999999</v>
      </c>
      <c r="AM817" s="765">
        <v>312</v>
      </c>
      <c r="AN817" s="765">
        <v>17.399999999999999</v>
      </c>
      <c r="AO817" s="765" t="s">
        <v>1450</v>
      </c>
      <c r="AP817" s="765">
        <v>34</v>
      </c>
      <c r="AQ817" s="766">
        <v>24</v>
      </c>
      <c r="AR817" s="766">
        <v>14</v>
      </c>
      <c r="AS817" s="766">
        <v>73</v>
      </c>
      <c r="AT817" s="768">
        <v>108</v>
      </c>
      <c r="AU817" s="767">
        <v>14.5</v>
      </c>
      <c r="AV817" s="768">
        <v>25</v>
      </c>
      <c r="AW817" s="765">
        <v>303</v>
      </c>
      <c r="AX817" s="765">
        <v>1750</v>
      </c>
      <c r="AY817" s="765">
        <v>150</v>
      </c>
      <c r="AZ817" s="765">
        <v>2770</v>
      </c>
      <c r="BA817" s="765">
        <v>159</v>
      </c>
      <c r="BB817" s="765">
        <v>845</v>
      </c>
      <c r="BC817" s="765">
        <v>90.5</v>
      </c>
      <c r="BD817" s="765">
        <v>1290</v>
      </c>
      <c r="BE817" s="767">
        <v>0.58649561263952588</v>
      </c>
      <c r="BF817" s="767">
        <v>338.1</v>
      </c>
      <c r="BG817" s="765">
        <v>2240</v>
      </c>
      <c r="BH817" s="765">
        <v>4540</v>
      </c>
      <c r="BI817" s="765">
        <v>31800</v>
      </c>
      <c r="BJ817" s="765">
        <v>53.5</v>
      </c>
      <c r="BK817" s="765">
        <v>542</v>
      </c>
      <c r="BL817" s="771">
        <v>1370</v>
      </c>
    </row>
    <row r="818" spans="35:64" x14ac:dyDescent="0.3">
      <c r="AI818" s="763" t="s">
        <v>1451</v>
      </c>
      <c r="AJ818" s="764">
        <v>14100</v>
      </c>
      <c r="AK818" s="765">
        <v>308</v>
      </c>
      <c r="AL818" s="765">
        <v>15.4</v>
      </c>
      <c r="AM818" s="765">
        <v>310</v>
      </c>
      <c r="AN818" s="765">
        <v>15.5</v>
      </c>
      <c r="AO818" s="765" t="s">
        <v>1452</v>
      </c>
      <c r="AP818" s="765">
        <v>32</v>
      </c>
      <c r="AQ818" s="766">
        <v>23</v>
      </c>
      <c r="AR818" s="766">
        <v>14</v>
      </c>
      <c r="AS818" s="766">
        <v>84</v>
      </c>
      <c r="AT818" s="768">
        <v>125</v>
      </c>
      <c r="AU818" s="768">
        <v>8.9700000000000006</v>
      </c>
      <c r="AV818" s="768">
        <v>15.9</v>
      </c>
      <c r="AW818" s="765">
        <v>270</v>
      </c>
      <c r="AX818" s="765">
        <v>1730</v>
      </c>
      <c r="AY818" s="765">
        <v>149</v>
      </c>
      <c r="AZ818" s="765">
        <v>2380</v>
      </c>
      <c r="BA818" s="765">
        <v>135</v>
      </c>
      <c r="BB818" s="765">
        <v>724</v>
      </c>
      <c r="BC818" s="765">
        <v>89.6</v>
      </c>
      <c r="BD818" s="765">
        <v>1110</v>
      </c>
      <c r="BE818" s="767">
        <v>0.57852543105953125</v>
      </c>
      <c r="BF818" s="767">
        <v>335.4</v>
      </c>
      <c r="BG818" s="765">
        <v>1490</v>
      </c>
      <c r="BH818" s="765">
        <v>3800</v>
      </c>
      <c r="BI818" s="765">
        <v>31300</v>
      </c>
      <c r="BJ818" s="765">
        <v>45.5</v>
      </c>
      <c r="BK818" s="765">
        <v>468</v>
      </c>
      <c r="BL818" s="771">
        <v>1180</v>
      </c>
    </row>
    <row r="819" spans="35:64" x14ac:dyDescent="0.3">
      <c r="AI819" s="763" t="s">
        <v>1453</v>
      </c>
      <c r="AJ819" s="764">
        <v>11900</v>
      </c>
      <c r="AK819" s="765">
        <v>303</v>
      </c>
      <c r="AL819" s="765">
        <v>13.1</v>
      </c>
      <c r="AM819" s="765">
        <v>308</v>
      </c>
      <c r="AN819" s="765">
        <v>13.1</v>
      </c>
      <c r="AO819" s="765" t="s">
        <v>1454</v>
      </c>
      <c r="AP819" s="765">
        <v>29</v>
      </c>
      <c r="AQ819" s="766">
        <v>22</v>
      </c>
      <c r="AR819" s="766">
        <v>14</v>
      </c>
      <c r="AS819" s="766">
        <v>74</v>
      </c>
      <c r="AT819" s="768">
        <v>110</v>
      </c>
      <c r="AU819" s="768">
        <v>10</v>
      </c>
      <c r="AV819" s="768">
        <v>18</v>
      </c>
      <c r="AW819" s="765">
        <v>237</v>
      </c>
      <c r="AX819" s="765">
        <v>1540</v>
      </c>
      <c r="AY819" s="765">
        <v>148</v>
      </c>
      <c r="AZ819" s="765">
        <v>1940</v>
      </c>
      <c r="BA819" s="765">
        <v>108</v>
      </c>
      <c r="BB819" s="765">
        <v>585</v>
      </c>
      <c r="BC819" s="765">
        <v>88.6</v>
      </c>
      <c r="BD819" s="765">
        <v>891</v>
      </c>
      <c r="BE819" s="767">
        <v>0.57031819631315506</v>
      </c>
      <c r="BF819" s="767">
        <v>333.2</v>
      </c>
      <c r="BG819" s="765">
        <v>832</v>
      </c>
      <c r="BH819" s="765">
        <v>3000</v>
      </c>
      <c r="BI819" s="765">
        <v>30800</v>
      </c>
      <c r="BJ819" s="765">
        <v>36.5</v>
      </c>
      <c r="BK819" s="765">
        <v>381</v>
      </c>
      <c r="BL819" s="771">
        <v>953</v>
      </c>
    </row>
    <row r="820" spans="35:64" x14ac:dyDescent="0.3">
      <c r="AI820" s="763" t="s">
        <v>1455</v>
      </c>
      <c r="AJ820" s="764">
        <v>9980</v>
      </c>
      <c r="AK820" s="765">
        <v>299</v>
      </c>
      <c r="AL820" s="765">
        <v>11</v>
      </c>
      <c r="AM820" s="765">
        <v>306</v>
      </c>
      <c r="AN820" s="765">
        <v>11</v>
      </c>
      <c r="AO820" s="765" t="s">
        <v>1456</v>
      </c>
      <c r="AP820" s="765">
        <v>34</v>
      </c>
      <c r="AQ820" s="766">
        <v>24</v>
      </c>
      <c r="AR820" s="766">
        <v>12</v>
      </c>
      <c r="AS820" s="766">
        <v>63</v>
      </c>
      <c r="AT820" s="768">
        <v>94</v>
      </c>
      <c r="AU820" s="768">
        <v>11.8</v>
      </c>
      <c r="AV820" s="768">
        <v>21.1</v>
      </c>
      <c r="AW820" s="765">
        <v>196</v>
      </c>
      <c r="AX820" s="765">
        <v>1300</v>
      </c>
      <c r="AY820" s="765">
        <v>130</v>
      </c>
      <c r="AZ820" s="765">
        <v>1960</v>
      </c>
      <c r="BA820" s="765">
        <v>88.2</v>
      </c>
      <c r="BB820" s="765">
        <v>566</v>
      </c>
      <c r="BC820" s="765">
        <v>74.5</v>
      </c>
      <c r="BD820" s="765">
        <v>870</v>
      </c>
      <c r="BE820" s="767">
        <v>0.4870823991724042</v>
      </c>
      <c r="BF820" s="767">
        <v>294.60000000000002</v>
      </c>
      <c r="BG820" s="765">
        <v>1760</v>
      </c>
      <c r="BH820" s="765">
        <v>1910</v>
      </c>
      <c r="BI820" s="765">
        <v>23000</v>
      </c>
      <c r="BJ820" s="765">
        <v>31.2</v>
      </c>
      <c r="BK820" s="765">
        <v>378</v>
      </c>
      <c r="BL820" s="771">
        <v>967</v>
      </c>
    </row>
    <row r="821" spans="35:64" x14ac:dyDescent="0.3">
      <c r="AI821" s="763" t="s">
        <v>1457</v>
      </c>
      <c r="AJ821" s="764">
        <v>10900</v>
      </c>
      <c r="AK821" s="765">
        <v>254</v>
      </c>
      <c r="AL821" s="765">
        <v>14.4</v>
      </c>
      <c r="AM821" s="765">
        <v>260</v>
      </c>
      <c r="AN821" s="765">
        <v>14.4</v>
      </c>
      <c r="AO821" s="765" t="s">
        <v>1458</v>
      </c>
      <c r="AP821" s="765">
        <v>32</v>
      </c>
      <c r="AQ821" s="766">
        <v>23</v>
      </c>
      <c r="AR821" s="766">
        <v>12</v>
      </c>
      <c r="AS821" s="766">
        <v>53</v>
      </c>
      <c r="AT821" s="768">
        <v>79</v>
      </c>
      <c r="AU821" s="767">
        <v>13.9</v>
      </c>
      <c r="AV821" s="768">
        <v>25.2</v>
      </c>
      <c r="AW821" s="765">
        <v>163</v>
      </c>
      <c r="AX821" s="765">
        <v>1090</v>
      </c>
      <c r="AY821" s="765">
        <v>130</v>
      </c>
      <c r="AZ821" s="765">
        <v>1730</v>
      </c>
      <c r="BA821" s="765">
        <v>77.099999999999994</v>
      </c>
      <c r="BB821" s="765">
        <v>497</v>
      </c>
      <c r="BC821" s="765">
        <v>74</v>
      </c>
      <c r="BD821" s="765">
        <v>763</v>
      </c>
      <c r="BE821" s="767">
        <v>0.48125385364515277</v>
      </c>
      <c r="BF821" s="767">
        <v>292.5</v>
      </c>
      <c r="BG821" s="765">
        <v>1240</v>
      </c>
      <c r="BH821" s="765">
        <v>1650</v>
      </c>
      <c r="BI821" s="765">
        <v>22700</v>
      </c>
      <c r="BJ821" s="765">
        <v>27.2</v>
      </c>
      <c r="BK821" s="765">
        <v>334</v>
      </c>
      <c r="BL821" s="771">
        <v>850</v>
      </c>
    </row>
    <row r="822" spans="35:64" x14ac:dyDescent="0.3">
      <c r="AI822" s="763" t="s">
        <v>1459</v>
      </c>
      <c r="AJ822" s="765">
        <v>7980</v>
      </c>
      <c r="AK822" s="765">
        <v>246</v>
      </c>
      <c r="AL822" s="765">
        <v>10.5</v>
      </c>
      <c r="AM822" s="765">
        <v>256</v>
      </c>
      <c r="AN822" s="765">
        <v>10.7</v>
      </c>
      <c r="AO822" s="765" t="s">
        <v>1460</v>
      </c>
      <c r="AP822" s="765">
        <v>29</v>
      </c>
      <c r="AQ822" s="766">
        <v>22</v>
      </c>
      <c r="AR822" s="766">
        <v>12</v>
      </c>
      <c r="AS822" s="766">
        <v>57</v>
      </c>
      <c r="AT822" s="768">
        <v>85</v>
      </c>
      <c r="AU822" s="768">
        <v>9.0299999999999994</v>
      </c>
      <c r="AV822" s="768">
        <v>15.6</v>
      </c>
      <c r="AW822" s="765">
        <v>123</v>
      </c>
      <c r="AX822" s="765">
        <v>968</v>
      </c>
      <c r="AY822" s="765">
        <v>129</v>
      </c>
      <c r="AZ822" s="765">
        <v>1450</v>
      </c>
      <c r="BA822" s="765">
        <v>63.9</v>
      </c>
      <c r="BB822" s="765">
        <v>415</v>
      </c>
      <c r="BC822" s="765">
        <v>73.3</v>
      </c>
      <c r="BD822" s="765">
        <v>635</v>
      </c>
      <c r="BE822" s="767">
        <v>0.47443829661085868</v>
      </c>
      <c r="BF822" s="767">
        <v>289.89999999999998</v>
      </c>
      <c r="BG822" s="765">
        <v>764</v>
      </c>
      <c r="BH822" s="765">
        <v>1340</v>
      </c>
      <c r="BI822" s="765">
        <v>22300</v>
      </c>
      <c r="BJ822" s="765">
        <v>22.5</v>
      </c>
      <c r="BK822" s="765">
        <v>280</v>
      </c>
      <c r="BL822" s="771">
        <v>710</v>
      </c>
    </row>
    <row r="823" spans="35:64" ht="14.5" customHeight="1" x14ac:dyDescent="0.35">
      <c r="AI823" s="795" t="s">
        <v>1461</v>
      </c>
      <c r="AJ823" s="786">
        <v>6820</v>
      </c>
      <c r="AK823" s="796">
        <v>204</v>
      </c>
      <c r="AL823" s="796">
        <v>11.3</v>
      </c>
      <c r="AM823" s="796">
        <v>207</v>
      </c>
      <c r="AN823" s="796">
        <v>11.3</v>
      </c>
      <c r="AO823" s="765" t="s">
        <v>1462</v>
      </c>
      <c r="AP823" s="765">
        <v>27</v>
      </c>
      <c r="AQ823" s="766">
        <v>21</v>
      </c>
      <c r="AR823" s="766">
        <v>12</v>
      </c>
      <c r="AS823" s="766">
        <v>42</v>
      </c>
      <c r="AT823" s="768">
        <v>62</v>
      </c>
      <c r="AU823" s="767">
        <v>12</v>
      </c>
      <c r="AV823" s="768">
        <v>21.4</v>
      </c>
      <c r="AW823" s="765">
        <v>87.5</v>
      </c>
      <c r="AX823" s="765">
        <v>711</v>
      </c>
      <c r="AY823" s="765">
        <v>128</v>
      </c>
      <c r="AZ823" s="765">
        <v>1210</v>
      </c>
      <c r="BA823" s="765">
        <v>52.6</v>
      </c>
      <c r="BB823" s="765">
        <v>344</v>
      </c>
      <c r="BC823" s="765">
        <v>72.599999999999994</v>
      </c>
      <c r="BD823" s="765">
        <v>525</v>
      </c>
      <c r="BE823" s="767">
        <v>0.46869445071090249</v>
      </c>
      <c r="BF823" s="767">
        <v>288</v>
      </c>
      <c r="BG823" s="765">
        <v>460</v>
      </c>
      <c r="BH823" s="765">
        <v>1090</v>
      </c>
      <c r="BI823" s="765">
        <v>22000</v>
      </c>
      <c r="BJ823" s="765">
        <v>18.5</v>
      </c>
      <c r="BK823" s="765">
        <v>234</v>
      </c>
      <c r="BL823" s="771">
        <v>590</v>
      </c>
    </row>
    <row r="824" spans="35:64" x14ac:dyDescent="0.3">
      <c r="AI824" s="797" t="s">
        <v>1463</v>
      </c>
      <c r="AJ824" s="798">
        <v>93200</v>
      </c>
      <c r="AK824" s="799">
        <v>2000</v>
      </c>
      <c r="AL824" s="799">
        <v>20</v>
      </c>
      <c r="AM824" s="799">
        <v>550</v>
      </c>
      <c r="AN824" s="799">
        <v>50</v>
      </c>
      <c r="AO824" s="765" t="s">
        <v>1464</v>
      </c>
      <c r="AP824" s="765">
        <v>31</v>
      </c>
      <c r="AQ824" s="766">
        <v>22</v>
      </c>
      <c r="AR824" s="766">
        <v>10</v>
      </c>
      <c r="AS824" s="800">
        <v>36</v>
      </c>
      <c r="AT824" s="796">
        <v>54</v>
      </c>
      <c r="AU824" s="796">
        <v>9.16</v>
      </c>
      <c r="AV824" s="796">
        <v>16.100000000000001</v>
      </c>
      <c r="AW824" s="796">
        <v>49.8</v>
      </c>
      <c r="AX824" s="796">
        <v>488</v>
      </c>
      <c r="AY824" s="765">
        <v>106</v>
      </c>
      <c r="AZ824" s="765">
        <v>1090</v>
      </c>
      <c r="BA824" s="765">
        <v>42.3</v>
      </c>
      <c r="BB824" s="765">
        <v>325</v>
      </c>
      <c r="BC824" s="765">
        <v>62.3</v>
      </c>
      <c r="BD824" s="765">
        <v>500</v>
      </c>
      <c r="BE824" s="767">
        <v>0.4066919435403093</v>
      </c>
      <c r="BF824" s="767">
        <v>239.6</v>
      </c>
      <c r="BG824" s="765">
        <v>829</v>
      </c>
      <c r="BH824" s="765">
        <v>606</v>
      </c>
      <c r="BI824" s="765">
        <v>15600</v>
      </c>
      <c r="BJ824" s="765">
        <v>14.6</v>
      </c>
      <c r="BK824" s="765">
        <v>212</v>
      </c>
      <c r="BL824" s="771">
        <v>540</v>
      </c>
    </row>
    <row r="825" spans="35:64" x14ac:dyDescent="0.3">
      <c r="AI825" s="801" t="s">
        <v>1465</v>
      </c>
      <c r="AJ825" s="802">
        <v>82600</v>
      </c>
      <c r="AK825" s="803">
        <v>2000</v>
      </c>
      <c r="AL825" s="803">
        <v>20</v>
      </c>
      <c r="AM825" s="803">
        <v>550</v>
      </c>
      <c r="AN825" s="803">
        <v>40</v>
      </c>
      <c r="AO825" s="765" t="s">
        <v>1466</v>
      </c>
      <c r="AP825" s="765">
        <v>27</v>
      </c>
      <c r="AQ825" s="766">
        <v>20</v>
      </c>
      <c r="AR825" s="766">
        <v>10</v>
      </c>
      <c r="AS825" s="804">
        <v>490</v>
      </c>
      <c r="AT825" s="799">
        <v>732</v>
      </c>
      <c r="AU825" s="799">
        <v>5.5</v>
      </c>
      <c r="AV825" s="799">
        <v>95</v>
      </c>
      <c r="AW825" s="799">
        <v>63900</v>
      </c>
      <c r="AX825" s="799">
        <v>63900</v>
      </c>
      <c r="AY825" s="765">
        <v>105</v>
      </c>
      <c r="AZ825" s="765">
        <v>792</v>
      </c>
      <c r="BA825" s="765">
        <v>30</v>
      </c>
      <c r="BB825" s="765">
        <v>234</v>
      </c>
      <c r="BC825" s="765">
        <v>61.3</v>
      </c>
      <c r="BD825" s="765">
        <v>358</v>
      </c>
      <c r="BE825" s="767">
        <v>0.39614806367997529</v>
      </c>
      <c r="BF825" s="767">
        <v>235.3</v>
      </c>
      <c r="BG825" s="765">
        <v>339</v>
      </c>
      <c r="BH825" s="765">
        <v>415</v>
      </c>
      <c r="BI825" s="765">
        <v>15100</v>
      </c>
      <c r="BJ825" s="765">
        <v>10.3</v>
      </c>
      <c r="BK825" s="765">
        <v>155</v>
      </c>
      <c r="BL825" s="771">
        <v>388</v>
      </c>
    </row>
    <row r="826" spans="35:64" x14ac:dyDescent="0.3">
      <c r="AI826" s="801" t="s">
        <v>1467</v>
      </c>
      <c r="AJ826" s="802">
        <v>77300</v>
      </c>
      <c r="AK826" s="803">
        <v>2000</v>
      </c>
      <c r="AL826" s="803">
        <v>20</v>
      </c>
      <c r="AM826" s="803">
        <v>550</v>
      </c>
      <c r="AN826" s="803">
        <v>35</v>
      </c>
      <c r="AO826" s="796" t="s">
        <v>1468</v>
      </c>
      <c r="AP826" s="796">
        <v>28</v>
      </c>
      <c r="AQ826" s="800">
        <v>21</v>
      </c>
      <c r="AR826" s="800">
        <v>8</v>
      </c>
      <c r="AS826" s="803">
        <v>436</v>
      </c>
      <c r="AT826" s="803">
        <v>648</v>
      </c>
      <c r="AU826" s="803">
        <v>6.88</v>
      </c>
      <c r="AV826" s="803">
        <v>96</v>
      </c>
      <c r="AW826" s="803">
        <v>54200</v>
      </c>
      <c r="AX826" s="803">
        <v>54200</v>
      </c>
      <c r="AY826" s="796">
        <v>85.5</v>
      </c>
      <c r="AZ826" s="796">
        <v>552</v>
      </c>
      <c r="BA826" s="796">
        <v>16.7</v>
      </c>
      <c r="BB826" s="796">
        <v>162</v>
      </c>
      <c r="BC826" s="796">
        <v>49.5</v>
      </c>
      <c r="BD826" s="796">
        <v>249</v>
      </c>
      <c r="BE826" s="796">
        <v>0.32288816831374939</v>
      </c>
      <c r="BF826" s="796">
        <v>192.7</v>
      </c>
      <c r="BG826" s="787">
        <v>321</v>
      </c>
      <c r="BH826" s="787">
        <v>155</v>
      </c>
      <c r="BI826" s="787">
        <v>9970</v>
      </c>
      <c r="BJ826" s="787">
        <v>5.83</v>
      </c>
      <c r="BK826" s="787">
        <v>107</v>
      </c>
      <c r="BL826" s="794">
        <v>272</v>
      </c>
    </row>
    <row r="827" spans="35:64" x14ac:dyDescent="0.3">
      <c r="AI827" s="801" t="s">
        <v>1469</v>
      </c>
      <c r="AJ827" s="802">
        <v>69000</v>
      </c>
      <c r="AK827" s="803">
        <v>2000</v>
      </c>
      <c r="AL827" s="803">
        <v>20</v>
      </c>
      <c r="AM827" s="803">
        <v>500</v>
      </c>
      <c r="AN827" s="803">
        <v>30</v>
      </c>
      <c r="AO827" s="799" t="s">
        <v>1470</v>
      </c>
      <c r="AP827" s="799">
        <v>61</v>
      </c>
      <c r="AQ827" s="804">
        <v>20</v>
      </c>
      <c r="AR827" s="804">
        <v>79</v>
      </c>
      <c r="AS827" s="803">
        <v>408</v>
      </c>
      <c r="AT827" s="803">
        <v>607</v>
      </c>
      <c r="AU827" s="803">
        <v>7.86</v>
      </c>
      <c r="AV827" s="803">
        <v>96.5</v>
      </c>
      <c r="AW827" s="803">
        <v>49300</v>
      </c>
      <c r="AX827" s="803">
        <v>49300</v>
      </c>
      <c r="AY827" s="799">
        <v>828</v>
      </c>
      <c r="AZ827" s="799">
        <v>71800</v>
      </c>
      <c r="BA827" s="799">
        <v>1390</v>
      </c>
      <c r="BB827" s="799">
        <v>5050</v>
      </c>
      <c r="BC827" s="799">
        <v>122</v>
      </c>
      <c r="BD827" s="799">
        <v>7750</v>
      </c>
      <c r="BE827" s="799">
        <v>0.81874140482537061</v>
      </c>
      <c r="BF827" s="799">
        <v>1950</v>
      </c>
      <c r="BG827" s="799">
        <v>50900</v>
      </c>
      <c r="BH827" s="799">
        <v>1320000</v>
      </c>
      <c r="BI827" s="799">
        <v>268000</v>
      </c>
      <c r="BJ827" s="799">
        <v>1840</v>
      </c>
      <c r="BK827" s="799">
        <v>12900</v>
      </c>
      <c r="BL827" s="805">
        <v>35800</v>
      </c>
    </row>
    <row r="828" spans="35:64" x14ac:dyDescent="0.3">
      <c r="AI828" s="801" t="s">
        <v>1471</v>
      </c>
      <c r="AJ828" s="802">
        <v>89200</v>
      </c>
      <c r="AK828" s="803">
        <v>1800</v>
      </c>
      <c r="AL828" s="803">
        <v>20</v>
      </c>
      <c r="AM828" s="803">
        <v>550</v>
      </c>
      <c r="AN828" s="803">
        <v>50</v>
      </c>
      <c r="AO828" s="803" t="s">
        <v>1472</v>
      </c>
      <c r="AP828" s="803">
        <v>51</v>
      </c>
      <c r="AQ828" s="806">
        <v>20</v>
      </c>
      <c r="AR828" s="806">
        <v>79</v>
      </c>
      <c r="AS828" s="806">
        <v>364</v>
      </c>
      <c r="AT828" s="803">
        <v>542</v>
      </c>
      <c r="AU828" s="803">
        <v>8.33</v>
      </c>
      <c r="AV828" s="803">
        <v>97</v>
      </c>
      <c r="AW828" s="803">
        <v>41400</v>
      </c>
      <c r="AX828" s="803">
        <v>41400</v>
      </c>
      <c r="AY828" s="803">
        <v>810</v>
      </c>
      <c r="AZ828" s="803">
        <v>61700</v>
      </c>
      <c r="BA828" s="803">
        <v>1110</v>
      </c>
      <c r="BB828" s="803">
        <v>4040</v>
      </c>
      <c r="BC828" s="803">
        <v>116</v>
      </c>
      <c r="BD828" s="803">
        <v>6240</v>
      </c>
      <c r="BE828" s="803">
        <v>0.79740149553078854</v>
      </c>
      <c r="BF828" s="803">
        <v>1960</v>
      </c>
      <c r="BG828" s="803">
        <v>28600</v>
      </c>
      <c r="BH828" s="803">
        <v>1070000</v>
      </c>
      <c r="BI828" s="803">
        <v>270000</v>
      </c>
      <c r="BJ828" s="803">
        <v>1480</v>
      </c>
      <c r="BK828" s="803">
        <v>10400</v>
      </c>
      <c r="BL828" s="807">
        <v>30800</v>
      </c>
    </row>
    <row r="829" spans="35:64" x14ac:dyDescent="0.3">
      <c r="AI829" s="801" t="s">
        <v>1473</v>
      </c>
      <c r="AJ829" s="802">
        <v>83900</v>
      </c>
      <c r="AK829" s="803">
        <v>1800</v>
      </c>
      <c r="AL829" s="803">
        <v>20</v>
      </c>
      <c r="AM829" s="803">
        <v>550</v>
      </c>
      <c r="AN829" s="803">
        <v>45</v>
      </c>
      <c r="AO829" s="803" t="s">
        <v>1474</v>
      </c>
      <c r="AP829" s="803">
        <v>46</v>
      </c>
      <c r="AQ829" s="806">
        <v>20</v>
      </c>
      <c r="AR829" s="806">
        <v>79</v>
      </c>
      <c r="AS829" s="806">
        <v>470</v>
      </c>
      <c r="AT829" s="803">
        <v>700</v>
      </c>
      <c r="AU829" s="803">
        <v>5.5</v>
      </c>
      <c r="AV829" s="803">
        <v>85</v>
      </c>
      <c r="AW829" s="803">
        <v>50400</v>
      </c>
      <c r="AX829" s="803">
        <v>56000</v>
      </c>
      <c r="AY829" s="803">
        <v>799</v>
      </c>
      <c r="AZ829" s="803">
        <v>56600</v>
      </c>
      <c r="BA829" s="803">
        <v>972</v>
      </c>
      <c r="BB829" s="803">
        <v>3530</v>
      </c>
      <c r="BC829" s="803">
        <v>112</v>
      </c>
      <c r="BD829" s="803">
        <v>5490</v>
      </c>
      <c r="BE829" s="803">
        <v>0.7826071587117831</v>
      </c>
      <c r="BF829" s="803">
        <v>1965</v>
      </c>
      <c r="BG829" s="803">
        <v>20900</v>
      </c>
      <c r="BH829" s="803">
        <v>938000</v>
      </c>
      <c r="BI829" s="803">
        <v>270000</v>
      </c>
      <c r="BJ829" s="803">
        <v>1300</v>
      </c>
      <c r="BK829" s="803">
        <v>9110</v>
      </c>
      <c r="BL829" s="807">
        <v>28200</v>
      </c>
    </row>
    <row r="830" spans="35:64" x14ac:dyDescent="0.3">
      <c r="AI830" s="801" t="s">
        <v>1475</v>
      </c>
      <c r="AJ830" s="802">
        <v>78600</v>
      </c>
      <c r="AK830" s="803">
        <v>1800</v>
      </c>
      <c r="AL830" s="803">
        <v>20</v>
      </c>
      <c r="AM830" s="803">
        <v>550</v>
      </c>
      <c r="AN830" s="803">
        <v>40</v>
      </c>
      <c r="AO830" s="803" t="s">
        <v>1476</v>
      </c>
      <c r="AP830" s="803">
        <v>41</v>
      </c>
      <c r="AQ830" s="806">
        <v>20</v>
      </c>
      <c r="AR830" s="806">
        <v>79</v>
      </c>
      <c r="AS830" s="806">
        <v>442</v>
      </c>
      <c r="AT830" s="803">
        <v>659</v>
      </c>
      <c r="AU830" s="803">
        <v>6.11</v>
      </c>
      <c r="AV830" s="803">
        <v>85.5</v>
      </c>
      <c r="AW830" s="803">
        <v>46600</v>
      </c>
      <c r="AX830" s="803">
        <v>51800</v>
      </c>
      <c r="AY830" s="803">
        <v>775</v>
      </c>
      <c r="AZ830" s="803">
        <v>48500</v>
      </c>
      <c r="BA830" s="803">
        <v>626</v>
      </c>
      <c r="BB830" s="803">
        <v>2510</v>
      </c>
      <c r="BC830" s="803">
        <v>95.3</v>
      </c>
      <c r="BD830" s="803">
        <v>3950</v>
      </c>
      <c r="BE830" s="803">
        <v>0.68646643569332155</v>
      </c>
      <c r="BF830" s="803">
        <v>1970</v>
      </c>
      <c r="BG830" s="803">
        <v>14200</v>
      </c>
      <c r="BH830" s="803">
        <v>608000</v>
      </c>
      <c r="BI830" s="803">
        <v>246000</v>
      </c>
      <c r="BJ830" s="803">
        <v>923</v>
      </c>
      <c r="BK830" s="803">
        <v>7090</v>
      </c>
      <c r="BL830" s="807">
        <v>24200</v>
      </c>
    </row>
    <row r="831" spans="35:64" x14ac:dyDescent="0.3">
      <c r="AI831" s="801" t="s">
        <v>1477</v>
      </c>
      <c r="AJ831" s="802">
        <v>73300</v>
      </c>
      <c r="AK831" s="803">
        <v>1800</v>
      </c>
      <c r="AL831" s="803">
        <v>20</v>
      </c>
      <c r="AM831" s="803">
        <v>550</v>
      </c>
      <c r="AN831" s="803">
        <v>35</v>
      </c>
      <c r="AO831" s="803" t="s">
        <v>1478</v>
      </c>
      <c r="AP831" s="803">
        <v>61</v>
      </c>
      <c r="AQ831" s="806">
        <v>20</v>
      </c>
      <c r="AR831" s="806">
        <v>71</v>
      </c>
      <c r="AS831" s="806">
        <v>415</v>
      </c>
      <c r="AT831" s="803">
        <v>617</v>
      </c>
      <c r="AU831" s="803">
        <v>6.88</v>
      </c>
      <c r="AV831" s="803">
        <v>86</v>
      </c>
      <c r="AW831" s="803">
        <v>42700</v>
      </c>
      <c r="AX831" s="803">
        <v>47400</v>
      </c>
      <c r="AY831" s="803">
        <v>752</v>
      </c>
      <c r="AZ831" s="803">
        <v>62700</v>
      </c>
      <c r="BA831" s="803">
        <v>1390</v>
      </c>
      <c r="BB831" s="803">
        <v>5050</v>
      </c>
      <c r="BC831" s="803">
        <v>125</v>
      </c>
      <c r="BD831" s="803">
        <v>7730</v>
      </c>
      <c r="BE831" s="803">
        <v>0.87269984364393005</v>
      </c>
      <c r="BF831" s="803">
        <v>1750</v>
      </c>
      <c r="BG831" s="803">
        <v>50400</v>
      </c>
      <c r="BH831" s="803">
        <v>1060000</v>
      </c>
      <c r="BI831" s="803">
        <v>241000</v>
      </c>
      <c r="BJ831" s="803">
        <v>1650</v>
      </c>
      <c r="BK831" s="803">
        <v>11600</v>
      </c>
      <c r="BL831" s="807">
        <v>31300</v>
      </c>
    </row>
    <row r="832" spans="35:64" x14ac:dyDescent="0.3">
      <c r="AI832" s="801" t="s">
        <v>1479</v>
      </c>
      <c r="AJ832" s="802">
        <v>65000</v>
      </c>
      <c r="AK832" s="803">
        <v>1800</v>
      </c>
      <c r="AL832" s="803">
        <v>20</v>
      </c>
      <c r="AM832" s="803">
        <v>500</v>
      </c>
      <c r="AN832" s="803">
        <v>30</v>
      </c>
      <c r="AO832" s="803" t="s">
        <v>1480</v>
      </c>
      <c r="AP832" s="803">
        <v>56</v>
      </c>
      <c r="AQ832" s="806">
        <v>20</v>
      </c>
      <c r="AR832" s="806">
        <v>71</v>
      </c>
      <c r="AS832" s="806">
        <v>388</v>
      </c>
      <c r="AT832" s="803">
        <v>575</v>
      </c>
      <c r="AU832" s="803">
        <v>7.86</v>
      </c>
      <c r="AV832" s="803">
        <v>86.5</v>
      </c>
      <c r="AW832" s="803">
        <v>38800</v>
      </c>
      <c r="AX832" s="803">
        <v>43100</v>
      </c>
      <c r="AY832" s="803">
        <v>745</v>
      </c>
      <c r="AZ832" s="803">
        <v>58200</v>
      </c>
      <c r="BA832" s="803">
        <v>1250</v>
      </c>
      <c r="BB832" s="803">
        <v>4540</v>
      </c>
      <c r="BC832" s="803">
        <v>122</v>
      </c>
      <c r="BD832" s="803">
        <v>6980</v>
      </c>
      <c r="BE832" s="803">
        <v>0.86263745895744282</v>
      </c>
      <c r="BF832" s="803">
        <v>1755</v>
      </c>
      <c r="BG832" s="803">
        <v>38000</v>
      </c>
      <c r="BH832" s="803">
        <v>962000</v>
      </c>
      <c r="BI832" s="803">
        <v>241000</v>
      </c>
      <c r="BJ832" s="803">
        <v>1490</v>
      </c>
      <c r="BK832" s="803">
        <v>10500</v>
      </c>
      <c r="BL832" s="807">
        <v>29000</v>
      </c>
    </row>
    <row r="833" spans="35:64" x14ac:dyDescent="0.3">
      <c r="AI833" s="801" t="s">
        <v>1481</v>
      </c>
      <c r="AJ833" s="802">
        <v>79200</v>
      </c>
      <c r="AK833" s="803">
        <v>1600</v>
      </c>
      <c r="AL833" s="803">
        <v>16</v>
      </c>
      <c r="AM833" s="803">
        <v>550</v>
      </c>
      <c r="AN833" s="803">
        <v>50</v>
      </c>
      <c r="AO833" s="803" t="s">
        <v>1482</v>
      </c>
      <c r="AP833" s="803">
        <v>51</v>
      </c>
      <c r="AQ833" s="806">
        <v>20</v>
      </c>
      <c r="AR833" s="806">
        <v>71</v>
      </c>
      <c r="AS833" s="806">
        <v>344</v>
      </c>
      <c r="AT833" s="803">
        <v>510</v>
      </c>
      <c r="AU833" s="803">
        <v>8.33</v>
      </c>
      <c r="AV833" s="803">
        <v>87</v>
      </c>
      <c r="AW833" s="803">
        <v>32400</v>
      </c>
      <c r="AX833" s="803">
        <v>36000</v>
      </c>
      <c r="AY833" s="803">
        <v>737</v>
      </c>
      <c r="AZ833" s="803">
        <v>53700</v>
      </c>
      <c r="BA833" s="803">
        <v>1110</v>
      </c>
      <c r="BB833" s="803">
        <v>4040</v>
      </c>
      <c r="BC833" s="803">
        <v>119</v>
      </c>
      <c r="BD833" s="803">
        <v>6220</v>
      </c>
      <c r="BE833" s="803">
        <v>0.85063141935260467</v>
      </c>
      <c r="BF833" s="803">
        <v>1760</v>
      </c>
      <c r="BG833" s="803">
        <v>28100</v>
      </c>
      <c r="BH833" s="803">
        <v>860000</v>
      </c>
      <c r="BI833" s="803">
        <v>242000</v>
      </c>
      <c r="BJ833" s="803">
        <v>1330</v>
      </c>
      <c r="BK833" s="803">
        <v>9330</v>
      </c>
      <c r="BL833" s="807">
        <v>26800</v>
      </c>
    </row>
    <row r="834" spans="35:64" x14ac:dyDescent="0.3">
      <c r="AI834" s="801" t="s">
        <v>1483</v>
      </c>
      <c r="AJ834" s="802">
        <v>73800</v>
      </c>
      <c r="AK834" s="803">
        <v>1600</v>
      </c>
      <c r="AL834" s="803">
        <v>16</v>
      </c>
      <c r="AM834" s="803">
        <v>550</v>
      </c>
      <c r="AN834" s="803">
        <v>45</v>
      </c>
      <c r="AO834" s="803" t="s">
        <v>1484</v>
      </c>
      <c r="AP834" s="803">
        <v>46</v>
      </c>
      <c r="AQ834" s="806">
        <v>20</v>
      </c>
      <c r="AR834" s="806">
        <v>71</v>
      </c>
      <c r="AS834" s="806">
        <v>419</v>
      </c>
      <c r="AT834" s="803">
        <v>622</v>
      </c>
      <c r="AU834" s="803">
        <v>5.5</v>
      </c>
      <c r="AV834" s="803">
        <v>93.8</v>
      </c>
      <c r="AW834" s="803">
        <v>37600</v>
      </c>
      <c r="AX834" s="803">
        <v>47100</v>
      </c>
      <c r="AY834" s="803">
        <v>727</v>
      </c>
      <c r="AZ834" s="803">
        <v>49100</v>
      </c>
      <c r="BA834" s="803">
        <v>972</v>
      </c>
      <c r="BB834" s="803">
        <v>3530</v>
      </c>
      <c r="BC834" s="803">
        <v>115</v>
      </c>
      <c r="BD834" s="803">
        <v>5470</v>
      </c>
      <c r="BE834" s="803">
        <v>0.83613166976051689</v>
      </c>
      <c r="BF834" s="803">
        <v>1765</v>
      </c>
      <c r="BG834" s="803">
        <v>20300</v>
      </c>
      <c r="BH834" s="803">
        <v>757000</v>
      </c>
      <c r="BI834" s="803">
        <v>243000</v>
      </c>
      <c r="BJ834" s="803">
        <v>1170</v>
      </c>
      <c r="BK834" s="803">
        <v>8190</v>
      </c>
      <c r="BL834" s="807">
        <v>24500</v>
      </c>
    </row>
    <row r="835" spans="35:64" x14ac:dyDescent="0.3">
      <c r="AI835" s="801" t="s">
        <v>1485</v>
      </c>
      <c r="AJ835" s="802">
        <v>68500</v>
      </c>
      <c r="AK835" s="803">
        <v>1600</v>
      </c>
      <c r="AL835" s="803">
        <v>16</v>
      </c>
      <c r="AM835" s="803">
        <v>550</v>
      </c>
      <c r="AN835" s="803">
        <v>40</v>
      </c>
      <c r="AO835" s="803" t="s">
        <v>1486</v>
      </c>
      <c r="AP835" s="803">
        <v>41</v>
      </c>
      <c r="AQ835" s="806">
        <v>20</v>
      </c>
      <c r="AR835" s="806">
        <v>71</v>
      </c>
      <c r="AS835" s="806">
        <v>388</v>
      </c>
      <c r="AT835" s="803">
        <v>580</v>
      </c>
      <c r="AU835" s="803">
        <v>6.11</v>
      </c>
      <c r="AV835" s="803">
        <v>94.4</v>
      </c>
      <c r="AW835" s="803">
        <v>34600</v>
      </c>
      <c r="AX835" s="803">
        <v>43300</v>
      </c>
      <c r="AY835" s="803">
        <v>706</v>
      </c>
      <c r="AZ835" s="803">
        <v>41800</v>
      </c>
      <c r="BA835" s="803">
        <v>626</v>
      </c>
      <c r="BB835" s="803">
        <v>2500</v>
      </c>
      <c r="BC835" s="803">
        <v>98.2</v>
      </c>
      <c r="BD835" s="803">
        <v>3930</v>
      </c>
      <c r="BE835" s="803">
        <v>0.735224715889083</v>
      </c>
      <c r="BF835" s="803">
        <v>1770</v>
      </c>
      <c r="BG835" s="803">
        <v>13600</v>
      </c>
      <c r="BH835" s="803">
        <v>490000</v>
      </c>
      <c r="BI835" s="803">
        <v>221000</v>
      </c>
      <c r="BJ835" s="803">
        <v>830</v>
      </c>
      <c r="BK835" s="803">
        <v>6370</v>
      </c>
      <c r="BL835" s="807">
        <v>20800</v>
      </c>
    </row>
    <row r="836" spans="35:64" x14ac:dyDescent="0.3">
      <c r="AI836" s="801" t="s">
        <v>1487</v>
      </c>
      <c r="AJ836" s="802">
        <v>63100</v>
      </c>
      <c r="AK836" s="803">
        <v>1600</v>
      </c>
      <c r="AL836" s="803">
        <v>16</v>
      </c>
      <c r="AM836" s="803">
        <v>550</v>
      </c>
      <c r="AN836" s="803">
        <v>35</v>
      </c>
      <c r="AO836" s="803" t="s">
        <v>1488</v>
      </c>
      <c r="AP836" s="803">
        <v>61</v>
      </c>
      <c r="AQ836" s="806">
        <v>18</v>
      </c>
      <c r="AR836" s="806">
        <v>63</v>
      </c>
      <c r="AS836" s="806">
        <v>361</v>
      </c>
      <c r="AT836" s="803">
        <v>538</v>
      </c>
      <c r="AU836" s="803">
        <v>6.88</v>
      </c>
      <c r="AV836" s="803">
        <v>95</v>
      </c>
      <c r="AW836" s="803">
        <v>31600</v>
      </c>
      <c r="AX836" s="803">
        <v>39500</v>
      </c>
      <c r="AY836" s="803">
        <v>690</v>
      </c>
      <c r="AZ836" s="803">
        <v>51800</v>
      </c>
      <c r="BA836" s="803">
        <v>1390</v>
      </c>
      <c r="BB836" s="803">
        <v>5040</v>
      </c>
      <c r="BC836" s="803">
        <v>132</v>
      </c>
      <c r="BD836" s="803">
        <v>7660</v>
      </c>
      <c r="BE836" s="803">
        <v>0.95130773495581888</v>
      </c>
      <c r="BF836" s="803">
        <v>1550</v>
      </c>
      <c r="BG836" s="803">
        <v>47900</v>
      </c>
      <c r="BH836" s="803">
        <v>833000</v>
      </c>
      <c r="BI836" s="803">
        <v>213000</v>
      </c>
      <c r="BJ836" s="803">
        <v>1470</v>
      </c>
      <c r="BK836" s="803">
        <v>10300</v>
      </c>
      <c r="BL836" s="807">
        <v>25800</v>
      </c>
    </row>
    <row r="837" spans="35:64" x14ac:dyDescent="0.3">
      <c r="AI837" s="801" t="s">
        <v>1489</v>
      </c>
      <c r="AJ837" s="802">
        <v>54800</v>
      </c>
      <c r="AK837" s="803">
        <v>1600</v>
      </c>
      <c r="AL837" s="803">
        <v>16</v>
      </c>
      <c r="AM837" s="803">
        <v>500</v>
      </c>
      <c r="AN837" s="803">
        <v>30</v>
      </c>
      <c r="AO837" s="803" t="s">
        <v>1490</v>
      </c>
      <c r="AP837" s="803">
        <v>56</v>
      </c>
      <c r="AQ837" s="806">
        <v>18</v>
      </c>
      <c r="AR837" s="806">
        <v>63</v>
      </c>
      <c r="AS837" s="806">
        <v>333</v>
      </c>
      <c r="AT837" s="803">
        <v>496</v>
      </c>
      <c r="AU837" s="803">
        <v>7.86</v>
      </c>
      <c r="AV837" s="803">
        <v>95.6</v>
      </c>
      <c r="AW837" s="803">
        <v>28400</v>
      </c>
      <c r="AX837" s="803">
        <v>35500</v>
      </c>
      <c r="AY837" s="803">
        <v>685</v>
      </c>
      <c r="AZ837" s="803">
        <v>47700</v>
      </c>
      <c r="BA837" s="803">
        <v>1250</v>
      </c>
      <c r="BB837" s="803">
        <v>4540</v>
      </c>
      <c r="BC837" s="803">
        <v>130</v>
      </c>
      <c r="BD837" s="803">
        <v>6900</v>
      </c>
      <c r="BE837" s="803">
        <v>0.94227179538392647</v>
      </c>
      <c r="BF837" s="803">
        <v>1555</v>
      </c>
      <c r="BG837" s="803">
        <v>35500</v>
      </c>
      <c r="BH837" s="803">
        <v>755000</v>
      </c>
      <c r="BI837" s="803">
        <v>214000</v>
      </c>
      <c r="BJ837" s="803">
        <v>1320</v>
      </c>
      <c r="BK837" s="803">
        <v>9340</v>
      </c>
      <c r="BL837" s="807">
        <v>23800</v>
      </c>
    </row>
    <row r="838" spans="35:64" x14ac:dyDescent="0.3">
      <c r="AI838" s="801" t="s">
        <v>1491</v>
      </c>
      <c r="AJ838" s="802">
        <v>76000</v>
      </c>
      <c r="AK838" s="803">
        <v>1400</v>
      </c>
      <c r="AL838" s="803">
        <v>16</v>
      </c>
      <c r="AM838" s="803">
        <v>550</v>
      </c>
      <c r="AN838" s="803">
        <v>50</v>
      </c>
      <c r="AO838" s="803" t="s">
        <v>1492</v>
      </c>
      <c r="AP838" s="803">
        <v>51</v>
      </c>
      <c r="AQ838" s="806">
        <v>18</v>
      </c>
      <c r="AR838" s="806">
        <v>63</v>
      </c>
      <c r="AS838" s="806">
        <v>289</v>
      </c>
      <c r="AT838" s="803">
        <v>431</v>
      </c>
      <c r="AU838" s="803">
        <v>8.33</v>
      </c>
      <c r="AV838" s="803">
        <v>96.3</v>
      </c>
      <c r="AW838" s="803">
        <v>23400</v>
      </c>
      <c r="AX838" s="803">
        <v>29300</v>
      </c>
      <c r="AY838" s="803">
        <v>679</v>
      </c>
      <c r="AZ838" s="803">
        <v>43700</v>
      </c>
      <c r="BA838" s="803">
        <v>1110</v>
      </c>
      <c r="BB838" s="803">
        <v>4040</v>
      </c>
      <c r="BC838" s="803">
        <v>127</v>
      </c>
      <c r="BD838" s="803">
        <v>6150</v>
      </c>
      <c r="BE838" s="803">
        <v>0.93070735632210855</v>
      </c>
      <c r="BF838" s="803">
        <v>1560</v>
      </c>
      <c r="BG838" s="803">
        <v>25500</v>
      </c>
      <c r="BH838" s="803">
        <v>675000</v>
      </c>
      <c r="BI838" s="803">
        <v>215000</v>
      </c>
      <c r="BJ838" s="803">
        <v>1180</v>
      </c>
      <c r="BK838" s="803">
        <v>8330</v>
      </c>
      <c r="BL838" s="807">
        <v>21800</v>
      </c>
    </row>
    <row r="839" spans="35:64" x14ac:dyDescent="0.3">
      <c r="AI839" s="801" t="s">
        <v>1493</v>
      </c>
      <c r="AJ839" s="802">
        <v>65300</v>
      </c>
      <c r="AK839" s="803">
        <v>1400</v>
      </c>
      <c r="AL839" s="803">
        <v>16</v>
      </c>
      <c r="AM839" s="803">
        <v>550</v>
      </c>
      <c r="AN839" s="803">
        <v>40</v>
      </c>
      <c r="AO839" s="803" t="s">
        <v>1494</v>
      </c>
      <c r="AP839" s="803">
        <v>44</v>
      </c>
      <c r="AQ839" s="806">
        <v>16</v>
      </c>
      <c r="AR839" s="806">
        <v>63</v>
      </c>
      <c r="AS839" s="806">
        <v>402</v>
      </c>
      <c r="AT839" s="803">
        <v>597</v>
      </c>
      <c r="AU839" s="803">
        <v>5.5</v>
      </c>
      <c r="AV839" s="803">
        <v>81.3</v>
      </c>
      <c r="AW839" s="803">
        <v>28100</v>
      </c>
      <c r="AX839" s="803">
        <v>40100</v>
      </c>
      <c r="AY839" s="803">
        <v>671</v>
      </c>
      <c r="AZ839" s="803">
        <v>39600</v>
      </c>
      <c r="BA839" s="803">
        <v>971</v>
      </c>
      <c r="BB839" s="803">
        <v>3530</v>
      </c>
      <c r="BC839" s="803">
        <v>124</v>
      </c>
      <c r="BD839" s="803">
        <v>5390</v>
      </c>
      <c r="BE839" s="803">
        <v>0.91997257067254501</v>
      </c>
      <c r="BF839" s="803">
        <v>1565</v>
      </c>
      <c r="BG839" s="803">
        <v>17800</v>
      </c>
      <c r="BH839" s="803">
        <v>595000</v>
      </c>
      <c r="BI839" s="803">
        <v>215000</v>
      </c>
      <c r="BJ839" s="803">
        <v>1040</v>
      </c>
      <c r="BK839" s="803">
        <v>7310</v>
      </c>
      <c r="BL839" s="807">
        <v>19700</v>
      </c>
    </row>
    <row r="840" spans="35:64" x14ac:dyDescent="0.3">
      <c r="AI840" s="801" t="s">
        <v>1495</v>
      </c>
      <c r="AJ840" s="802">
        <v>59900</v>
      </c>
      <c r="AK840" s="803">
        <v>1400</v>
      </c>
      <c r="AL840" s="803">
        <v>16</v>
      </c>
      <c r="AM840" s="803">
        <v>550</v>
      </c>
      <c r="AN840" s="803">
        <v>35</v>
      </c>
      <c r="AO840" s="803" t="s">
        <v>1496</v>
      </c>
      <c r="AP840" s="803">
        <v>39</v>
      </c>
      <c r="AQ840" s="806">
        <v>16</v>
      </c>
      <c r="AR840" s="806">
        <v>63</v>
      </c>
      <c r="AS840" s="806">
        <v>344</v>
      </c>
      <c r="AT840" s="803">
        <v>513</v>
      </c>
      <c r="AU840" s="803">
        <v>6.88</v>
      </c>
      <c r="AV840" s="803">
        <v>82.5</v>
      </c>
      <c r="AW840" s="803">
        <v>23500</v>
      </c>
      <c r="AX840" s="803">
        <v>33600</v>
      </c>
      <c r="AY840" s="803">
        <v>654</v>
      </c>
      <c r="AZ840" s="803">
        <v>33100</v>
      </c>
      <c r="BA840" s="803">
        <v>626</v>
      </c>
      <c r="BB840" s="803">
        <v>2500</v>
      </c>
      <c r="BC840" s="803">
        <v>107</v>
      </c>
      <c r="BD840" s="803">
        <v>3850</v>
      </c>
      <c r="BE840" s="803">
        <v>0.8145182827651215</v>
      </c>
      <c r="BF840" s="803">
        <v>1570</v>
      </c>
      <c r="BG840" s="803">
        <v>11100</v>
      </c>
      <c r="BH840" s="803">
        <v>385000</v>
      </c>
      <c r="BI840" s="803">
        <v>196000</v>
      </c>
      <c r="BJ840" s="803">
        <v>736</v>
      </c>
      <c r="BK840" s="803">
        <v>5700</v>
      </c>
      <c r="BL840" s="807">
        <v>16500</v>
      </c>
    </row>
    <row r="841" spans="35:64" x14ac:dyDescent="0.3">
      <c r="AI841" s="801" t="s">
        <v>1497</v>
      </c>
      <c r="AJ841" s="802">
        <v>51600</v>
      </c>
      <c r="AK841" s="803">
        <v>1400</v>
      </c>
      <c r="AL841" s="803">
        <v>16</v>
      </c>
      <c r="AM841" s="803">
        <v>500</v>
      </c>
      <c r="AN841" s="803">
        <v>30</v>
      </c>
      <c r="AO841" s="803" t="s">
        <v>1498</v>
      </c>
      <c r="AP841" s="803">
        <v>61</v>
      </c>
      <c r="AQ841" s="806">
        <v>18</v>
      </c>
      <c r="AR841" s="806">
        <v>55</v>
      </c>
      <c r="AS841" s="806">
        <v>316</v>
      </c>
      <c r="AT841" s="803">
        <v>471</v>
      </c>
      <c r="AU841" s="803">
        <v>7.86</v>
      </c>
      <c r="AV841" s="803">
        <v>83.1</v>
      </c>
      <c r="AW841" s="803">
        <v>21100</v>
      </c>
      <c r="AX841" s="803">
        <v>30200</v>
      </c>
      <c r="AY841" s="803">
        <v>608</v>
      </c>
      <c r="AZ841" s="803">
        <v>44000</v>
      </c>
      <c r="BA841" s="803">
        <v>1390</v>
      </c>
      <c r="BB841" s="803">
        <v>5040</v>
      </c>
      <c r="BC841" s="803">
        <v>135</v>
      </c>
      <c r="BD841" s="803">
        <v>7650</v>
      </c>
      <c r="BE841" s="803">
        <v>1.0270221487324891</v>
      </c>
      <c r="BF841" s="803">
        <v>1350</v>
      </c>
      <c r="BG841" s="803">
        <v>47600</v>
      </c>
      <c r="BH841" s="803">
        <v>632000</v>
      </c>
      <c r="BI841" s="803">
        <v>186000</v>
      </c>
      <c r="BJ841" s="803">
        <v>1280</v>
      </c>
      <c r="BK841" s="803">
        <v>9010</v>
      </c>
      <c r="BL841" s="807">
        <v>21900</v>
      </c>
    </row>
    <row r="842" spans="35:64" x14ac:dyDescent="0.3">
      <c r="AI842" s="801" t="s">
        <v>1499</v>
      </c>
      <c r="AJ842" s="802">
        <v>45600</v>
      </c>
      <c r="AK842" s="803">
        <v>1400</v>
      </c>
      <c r="AL842" s="803">
        <v>16</v>
      </c>
      <c r="AM842" s="803">
        <v>400</v>
      </c>
      <c r="AN842" s="803">
        <v>30</v>
      </c>
      <c r="AO842" s="803" t="s">
        <v>1500</v>
      </c>
      <c r="AP842" s="803">
        <v>51</v>
      </c>
      <c r="AQ842" s="806">
        <v>18</v>
      </c>
      <c r="AR842" s="806">
        <v>55</v>
      </c>
      <c r="AS842" s="806">
        <v>272</v>
      </c>
      <c r="AT842" s="803">
        <v>405</v>
      </c>
      <c r="AU842" s="803">
        <v>8.33</v>
      </c>
      <c r="AV842" s="803">
        <v>83.8</v>
      </c>
      <c r="AW842" s="803">
        <v>17300</v>
      </c>
      <c r="AX842" s="803">
        <v>24800</v>
      </c>
      <c r="AY842" s="803">
        <v>600</v>
      </c>
      <c r="AZ842" s="803">
        <v>37000</v>
      </c>
      <c r="BA842" s="803">
        <v>1110</v>
      </c>
      <c r="BB842" s="803">
        <v>4040</v>
      </c>
      <c r="BC842" s="803">
        <v>130</v>
      </c>
      <c r="BD842" s="803">
        <v>6140</v>
      </c>
      <c r="BE842" s="803">
        <v>1.007688157825543</v>
      </c>
      <c r="BF842" s="803">
        <v>1360</v>
      </c>
      <c r="BG842" s="803">
        <v>25300</v>
      </c>
      <c r="BH842" s="803">
        <v>513000</v>
      </c>
      <c r="BI842" s="803">
        <v>187000</v>
      </c>
      <c r="BJ842" s="803">
        <v>1030</v>
      </c>
      <c r="BK842" s="803">
        <v>7260</v>
      </c>
      <c r="BL842" s="807">
        <v>18400</v>
      </c>
    </row>
    <row r="843" spans="35:64" x14ac:dyDescent="0.3">
      <c r="AI843" s="801" t="s">
        <v>1501</v>
      </c>
      <c r="AJ843" s="802">
        <v>62100</v>
      </c>
      <c r="AK843" s="803">
        <v>1200</v>
      </c>
      <c r="AL843" s="803">
        <v>16</v>
      </c>
      <c r="AM843" s="803">
        <v>550</v>
      </c>
      <c r="AN843" s="803">
        <v>40</v>
      </c>
      <c r="AO843" s="803" t="s">
        <v>1502</v>
      </c>
      <c r="AP843" s="803">
        <v>44</v>
      </c>
      <c r="AQ843" s="806">
        <v>16</v>
      </c>
      <c r="AR843" s="806">
        <v>55</v>
      </c>
      <c r="AS843" s="806">
        <v>240</v>
      </c>
      <c r="AT843" s="803">
        <v>358</v>
      </c>
      <c r="AU843" s="803">
        <v>6.67</v>
      </c>
      <c r="AV843" s="803">
        <v>83.8</v>
      </c>
      <c r="AW843" s="803">
        <v>14500</v>
      </c>
      <c r="AX843" s="803">
        <v>20800</v>
      </c>
      <c r="AY843" s="803">
        <v>594</v>
      </c>
      <c r="AZ843" s="803">
        <v>33400</v>
      </c>
      <c r="BA843" s="803">
        <v>971</v>
      </c>
      <c r="BB843" s="803">
        <v>3530</v>
      </c>
      <c r="BC843" s="803">
        <v>127</v>
      </c>
      <c r="BD843" s="803">
        <v>5380</v>
      </c>
      <c r="BE843" s="803">
        <v>0.99643319824799814</v>
      </c>
      <c r="BF843" s="803">
        <v>1365</v>
      </c>
      <c r="BG843" s="803">
        <v>17500</v>
      </c>
      <c r="BH843" s="803">
        <v>452000</v>
      </c>
      <c r="BI843" s="803">
        <v>188000</v>
      </c>
      <c r="BJ843" s="803">
        <v>903</v>
      </c>
      <c r="BK843" s="803">
        <v>6380</v>
      </c>
      <c r="BL843" s="807">
        <v>16700</v>
      </c>
    </row>
    <row r="844" spans="35:64" x14ac:dyDescent="0.3">
      <c r="AI844" s="801" t="s">
        <v>1503</v>
      </c>
      <c r="AJ844" s="802">
        <v>53200</v>
      </c>
      <c r="AK844" s="803">
        <v>1200</v>
      </c>
      <c r="AL844" s="803">
        <v>16</v>
      </c>
      <c r="AM844" s="803">
        <v>500</v>
      </c>
      <c r="AN844" s="803">
        <v>35</v>
      </c>
      <c r="AO844" s="803" t="s">
        <v>1504</v>
      </c>
      <c r="AP844" s="803">
        <v>39</v>
      </c>
      <c r="AQ844" s="806">
        <v>16</v>
      </c>
      <c r="AR844" s="806">
        <v>55</v>
      </c>
      <c r="AS844" s="806">
        <v>326</v>
      </c>
      <c r="AT844" s="803">
        <v>487</v>
      </c>
      <c r="AU844" s="803">
        <v>6.88</v>
      </c>
      <c r="AV844" s="803">
        <v>70</v>
      </c>
      <c r="AW844" s="803">
        <v>16700</v>
      </c>
      <c r="AX844" s="803">
        <v>27900</v>
      </c>
      <c r="AY844" s="803">
        <v>580</v>
      </c>
      <c r="AZ844" s="803">
        <v>27800</v>
      </c>
      <c r="BA844" s="803">
        <v>625</v>
      </c>
      <c r="BB844" s="803">
        <v>2500</v>
      </c>
      <c r="BC844" s="803">
        <v>110</v>
      </c>
      <c r="BD844" s="803">
        <v>3840</v>
      </c>
      <c r="BE844" s="803">
        <v>0.88443079904974276</v>
      </c>
      <c r="BF844" s="803">
        <v>1370</v>
      </c>
      <c r="BG844" s="803">
        <v>10800</v>
      </c>
      <c r="BH844" s="803">
        <v>293000</v>
      </c>
      <c r="BI844" s="803">
        <v>171000</v>
      </c>
      <c r="BJ844" s="803">
        <v>642</v>
      </c>
      <c r="BK844" s="803">
        <v>4970</v>
      </c>
      <c r="BL844" s="807">
        <v>13900</v>
      </c>
    </row>
    <row r="845" spans="35:64" x14ac:dyDescent="0.3">
      <c r="AI845" s="801" t="s">
        <v>1505</v>
      </c>
      <c r="AJ845" s="802">
        <v>48400</v>
      </c>
      <c r="AK845" s="803">
        <v>1200</v>
      </c>
      <c r="AL845" s="803">
        <v>16</v>
      </c>
      <c r="AM845" s="803">
        <v>500</v>
      </c>
      <c r="AN845" s="803">
        <v>30</v>
      </c>
      <c r="AO845" s="803" t="s">
        <v>1506</v>
      </c>
      <c r="AP845" s="803">
        <v>39</v>
      </c>
      <c r="AQ845" s="806">
        <v>16</v>
      </c>
      <c r="AR845" s="806">
        <v>55</v>
      </c>
      <c r="AS845" s="806">
        <v>281</v>
      </c>
      <c r="AT845" s="803">
        <v>418</v>
      </c>
      <c r="AU845" s="803">
        <v>7.14</v>
      </c>
      <c r="AV845" s="803">
        <v>70.599999999999994</v>
      </c>
      <c r="AW845" s="803">
        <v>13800</v>
      </c>
      <c r="AX845" s="803">
        <v>23100</v>
      </c>
      <c r="AY845" s="803">
        <v>565</v>
      </c>
      <c r="AZ845" s="803">
        <v>23700</v>
      </c>
      <c r="BA845" s="803">
        <v>320</v>
      </c>
      <c r="BB845" s="803">
        <v>1600</v>
      </c>
      <c r="BC845" s="803">
        <v>83.9</v>
      </c>
      <c r="BD845" s="803">
        <v>2490</v>
      </c>
      <c r="BE845" s="803">
        <v>0.69123593608068834</v>
      </c>
      <c r="BF845" s="803">
        <v>1370</v>
      </c>
      <c r="BG845" s="803">
        <v>9030</v>
      </c>
      <c r="BH845" s="803">
        <v>150000</v>
      </c>
      <c r="BI845" s="803">
        <v>137000</v>
      </c>
      <c r="BJ845" s="803">
        <v>411</v>
      </c>
      <c r="BK845" s="803">
        <v>3950</v>
      </c>
      <c r="BL845" s="807">
        <v>11800</v>
      </c>
    </row>
    <row r="846" spans="35:64" x14ac:dyDescent="0.3">
      <c r="AI846" s="801" t="s">
        <v>1507</v>
      </c>
      <c r="AJ846" s="802">
        <v>42400</v>
      </c>
      <c r="AK846" s="803">
        <v>1200</v>
      </c>
      <c r="AL846" s="803">
        <v>16</v>
      </c>
      <c r="AM846" s="803">
        <v>400</v>
      </c>
      <c r="AN846" s="803">
        <v>30</v>
      </c>
      <c r="AO846" s="803" t="s">
        <v>1508</v>
      </c>
      <c r="AP846" s="803">
        <v>51</v>
      </c>
      <c r="AQ846" s="806">
        <v>18</v>
      </c>
      <c r="AR846" s="806">
        <v>47</v>
      </c>
      <c r="AS846" s="806">
        <v>255</v>
      </c>
      <c r="AT846" s="803">
        <v>380</v>
      </c>
      <c r="AU846" s="803">
        <v>8.33</v>
      </c>
      <c r="AV846" s="803">
        <v>71.3</v>
      </c>
      <c r="AW846" s="803">
        <v>12300</v>
      </c>
      <c r="AX846" s="803">
        <v>20500</v>
      </c>
      <c r="AY846" s="803">
        <v>519</v>
      </c>
      <c r="AZ846" s="803">
        <v>30600</v>
      </c>
      <c r="BA846" s="803">
        <v>1110</v>
      </c>
      <c r="BB846" s="803">
        <v>4030</v>
      </c>
      <c r="BC846" s="803">
        <v>134</v>
      </c>
      <c r="BD846" s="803">
        <v>6120</v>
      </c>
      <c r="BE846" s="803">
        <v>1.103823706575336</v>
      </c>
      <c r="BF846" s="803">
        <v>1160</v>
      </c>
      <c r="BG846" s="803">
        <v>25000</v>
      </c>
      <c r="BH846" s="803">
        <v>373000</v>
      </c>
      <c r="BI846" s="803">
        <v>160000</v>
      </c>
      <c r="BJ846" s="803">
        <v>877</v>
      </c>
      <c r="BK846" s="803">
        <v>6190</v>
      </c>
      <c r="BL846" s="807">
        <v>15300</v>
      </c>
    </row>
    <row r="847" spans="35:64" x14ac:dyDescent="0.3">
      <c r="AI847" s="801" t="s">
        <v>1509</v>
      </c>
      <c r="AJ847" s="802">
        <v>38500</v>
      </c>
      <c r="AK847" s="803">
        <v>1200</v>
      </c>
      <c r="AL847" s="803">
        <v>16</v>
      </c>
      <c r="AM847" s="803">
        <v>400</v>
      </c>
      <c r="AN847" s="803">
        <v>25</v>
      </c>
      <c r="AO847" s="803" t="s">
        <v>1510</v>
      </c>
      <c r="AP847" s="803">
        <v>44</v>
      </c>
      <c r="AQ847" s="806">
        <v>16</v>
      </c>
      <c r="AR847" s="806">
        <v>47</v>
      </c>
      <c r="AS847" s="806">
        <v>224</v>
      </c>
      <c r="AT847" s="803">
        <v>333</v>
      </c>
      <c r="AU847" s="803">
        <v>6.67</v>
      </c>
      <c r="AV847" s="803">
        <v>71.3</v>
      </c>
      <c r="AW847" s="803">
        <v>10200</v>
      </c>
      <c r="AX847" s="803">
        <v>17100</v>
      </c>
      <c r="AY847" s="803">
        <v>510</v>
      </c>
      <c r="AZ847" s="803">
        <v>25600</v>
      </c>
      <c r="BA847" s="803">
        <v>730</v>
      </c>
      <c r="BB847" s="803">
        <v>2920</v>
      </c>
      <c r="BC847" s="803">
        <v>117</v>
      </c>
      <c r="BD847" s="803">
        <v>4450</v>
      </c>
      <c r="BE847" s="803">
        <v>0.98742493947873777</v>
      </c>
      <c r="BF847" s="803">
        <v>1165</v>
      </c>
      <c r="BG847" s="803">
        <v>15800</v>
      </c>
      <c r="BH847" s="803">
        <v>248000</v>
      </c>
      <c r="BI847" s="803">
        <v>146000</v>
      </c>
      <c r="BJ847" s="803">
        <v>637</v>
      </c>
      <c r="BK847" s="803">
        <v>4930</v>
      </c>
      <c r="BL847" s="807">
        <v>12700</v>
      </c>
    </row>
    <row r="848" spans="35:64" x14ac:dyDescent="0.3">
      <c r="AI848" s="801" t="s">
        <v>1511</v>
      </c>
      <c r="AJ848" s="802">
        <v>33500</v>
      </c>
      <c r="AK848" s="803">
        <v>1200</v>
      </c>
      <c r="AL848" s="803">
        <v>16</v>
      </c>
      <c r="AM848" s="803">
        <v>300</v>
      </c>
      <c r="AN848" s="803">
        <v>25</v>
      </c>
      <c r="AO848" s="803" t="s">
        <v>1512</v>
      </c>
      <c r="AP848" s="803">
        <v>39</v>
      </c>
      <c r="AQ848" s="806">
        <v>16</v>
      </c>
      <c r="AR848" s="806">
        <v>47</v>
      </c>
      <c r="AS848" s="806">
        <v>203</v>
      </c>
      <c r="AT848" s="803">
        <v>302</v>
      </c>
      <c r="AU848" s="803">
        <v>8</v>
      </c>
      <c r="AV848" s="803">
        <v>71.900000000000006</v>
      </c>
      <c r="AW848" s="803">
        <v>8970</v>
      </c>
      <c r="AX848" s="803">
        <v>15000</v>
      </c>
      <c r="AY848" s="803">
        <v>504</v>
      </c>
      <c r="AZ848" s="803">
        <v>22800</v>
      </c>
      <c r="BA848" s="803">
        <v>625</v>
      </c>
      <c r="BB848" s="803">
        <v>2500</v>
      </c>
      <c r="BC848" s="803">
        <v>114</v>
      </c>
      <c r="BD848" s="803">
        <v>3820</v>
      </c>
      <c r="BE848" s="803">
        <v>0.96966315105916134</v>
      </c>
      <c r="BF848" s="803">
        <v>1170</v>
      </c>
      <c r="BG848" s="803">
        <v>10600</v>
      </c>
      <c r="BH848" s="803">
        <v>214000</v>
      </c>
      <c r="BI848" s="803">
        <v>146000</v>
      </c>
      <c r="BJ848" s="803">
        <v>548</v>
      </c>
      <c r="BK848" s="803">
        <v>4250</v>
      </c>
      <c r="BL848" s="807">
        <v>11400</v>
      </c>
    </row>
    <row r="849" spans="35:64" x14ac:dyDescent="0.3">
      <c r="AI849" s="801" t="s">
        <v>1513</v>
      </c>
      <c r="AJ849" s="802">
        <v>58500</v>
      </c>
      <c r="AK849" s="803">
        <v>1100</v>
      </c>
      <c r="AL849" s="803">
        <v>14</v>
      </c>
      <c r="AM849" s="803">
        <v>550</v>
      </c>
      <c r="AN849" s="803">
        <v>40</v>
      </c>
      <c r="AO849" s="803" t="s">
        <v>1514</v>
      </c>
      <c r="AP849" s="803">
        <v>39</v>
      </c>
      <c r="AQ849" s="806">
        <v>16</v>
      </c>
      <c r="AR849" s="806">
        <v>47</v>
      </c>
      <c r="AS849" s="806">
        <v>176</v>
      </c>
      <c r="AT849" s="803">
        <v>263</v>
      </c>
      <c r="AU849" s="803">
        <v>6</v>
      </c>
      <c r="AV849" s="803">
        <v>71.900000000000006</v>
      </c>
      <c r="AW849" s="803">
        <v>7250</v>
      </c>
      <c r="AX849" s="803">
        <v>12100</v>
      </c>
      <c r="AY849" s="803">
        <v>491</v>
      </c>
      <c r="AZ849" s="803">
        <v>19300</v>
      </c>
      <c r="BA849" s="803">
        <v>320</v>
      </c>
      <c r="BB849" s="803">
        <v>1600</v>
      </c>
      <c r="BC849" s="803">
        <v>87</v>
      </c>
      <c r="BD849" s="803">
        <v>2470</v>
      </c>
      <c r="BE849" s="803">
        <v>0.76266809716866713</v>
      </c>
      <c r="BF849" s="803">
        <v>1170</v>
      </c>
      <c r="BG849" s="803">
        <v>8760</v>
      </c>
      <c r="BH849" s="803">
        <v>110000</v>
      </c>
      <c r="BI849" s="803">
        <v>117000</v>
      </c>
      <c r="BJ849" s="803">
        <v>351</v>
      </c>
      <c r="BK849" s="803">
        <v>3370</v>
      </c>
      <c r="BL849" s="807">
        <v>9620</v>
      </c>
    </row>
    <row r="850" spans="35:64" x14ac:dyDescent="0.3">
      <c r="AI850" s="801" t="s">
        <v>1515</v>
      </c>
      <c r="AJ850" s="802">
        <v>49500</v>
      </c>
      <c r="AK850" s="803">
        <v>1100</v>
      </c>
      <c r="AL850" s="803">
        <v>14</v>
      </c>
      <c r="AM850" s="803">
        <v>500</v>
      </c>
      <c r="AN850" s="803">
        <v>35</v>
      </c>
      <c r="AO850" s="803" t="s">
        <v>1516</v>
      </c>
      <c r="AP850" s="803">
        <v>34</v>
      </c>
      <c r="AQ850" s="806">
        <v>16</v>
      </c>
      <c r="AR850" s="806">
        <v>47</v>
      </c>
      <c r="AS850" s="806">
        <v>307</v>
      </c>
      <c r="AT850" s="803">
        <v>458</v>
      </c>
      <c r="AU850" s="803">
        <v>6.88</v>
      </c>
      <c r="AV850" s="803">
        <v>72.900000000000006</v>
      </c>
      <c r="AW850" s="803">
        <v>13600</v>
      </c>
      <c r="AX850" s="803">
        <v>24800</v>
      </c>
      <c r="AY850" s="803">
        <v>483</v>
      </c>
      <c r="AZ850" s="803">
        <v>17100</v>
      </c>
      <c r="BA850" s="803">
        <v>267</v>
      </c>
      <c r="BB850" s="803">
        <v>1340</v>
      </c>
      <c r="BC850" s="803">
        <v>83.3</v>
      </c>
      <c r="BD850" s="803">
        <v>2070</v>
      </c>
      <c r="BE850" s="803">
        <v>0.74372832861743099</v>
      </c>
      <c r="BF850" s="803">
        <v>1175</v>
      </c>
      <c r="BG850" s="803">
        <v>5740</v>
      </c>
      <c r="BH850" s="803">
        <v>92200</v>
      </c>
      <c r="BI850" s="803">
        <v>118000</v>
      </c>
      <c r="BJ850" s="803">
        <v>294</v>
      </c>
      <c r="BK850" s="803">
        <v>2820</v>
      </c>
      <c r="BL850" s="807">
        <v>8520</v>
      </c>
    </row>
    <row r="851" spans="35:64" x14ac:dyDescent="0.3">
      <c r="AI851" s="801" t="s">
        <v>1517</v>
      </c>
      <c r="AJ851" s="802">
        <v>44700</v>
      </c>
      <c r="AK851" s="803">
        <v>1100</v>
      </c>
      <c r="AL851" s="803">
        <v>14</v>
      </c>
      <c r="AM851" s="803">
        <v>500</v>
      </c>
      <c r="AN851" s="803">
        <v>30</v>
      </c>
      <c r="AO851" s="803" t="s">
        <v>1518</v>
      </c>
      <c r="AP851" s="803">
        <v>34</v>
      </c>
      <c r="AQ851" s="806">
        <v>16</v>
      </c>
      <c r="AR851" s="806">
        <v>47</v>
      </c>
      <c r="AS851" s="803">
        <v>260</v>
      </c>
      <c r="AT851" s="803">
        <v>388</v>
      </c>
      <c r="AU851" s="803">
        <v>7.14</v>
      </c>
      <c r="AV851" s="803">
        <v>73.599999999999994</v>
      </c>
      <c r="AW851" s="803">
        <v>11200</v>
      </c>
      <c r="AX851" s="803">
        <v>20400</v>
      </c>
      <c r="AY851" s="803">
        <v>465</v>
      </c>
      <c r="AZ851" s="803">
        <v>14200</v>
      </c>
      <c r="BA851" s="803">
        <v>113</v>
      </c>
      <c r="BB851" s="803">
        <v>753</v>
      </c>
      <c r="BC851" s="803">
        <v>58</v>
      </c>
      <c r="BD851" s="803">
        <v>1200</v>
      </c>
      <c r="BE851" s="803">
        <v>0.53810466777861465</v>
      </c>
      <c r="BF851" s="803">
        <v>1175</v>
      </c>
      <c r="BG851" s="803">
        <v>4700</v>
      </c>
      <c r="BH851" s="803">
        <v>39000</v>
      </c>
      <c r="BI851" s="803">
        <v>88100</v>
      </c>
      <c r="BJ851" s="803">
        <v>165</v>
      </c>
      <c r="BK851" s="803">
        <v>2090</v>
      </c>
      <c r="BL851" s="807">
        <v>7050</v>
      </c>
    </row>
    <row r="852" spans="35:64" x14ac:dyDescent="0.3">
      <c r="AI852" s="801" t="s">
        <v>1519</v>
      </c>
      <c r="AJ852" s="802">
        <v>38700</v>
      </c>
      <c r="AK852" s="803">
        <v>1100</v>
      </c>
      <c r="AL852" s="803">
        <v>14</v>
      </c>
      <c r="AM852" s="803">
        <v>400</v>
      </c>
      <c r="AN852" s="803">
        <v>30</v>
      </c>
      <c r="AO852" s="803" t="s">
        <v>1520</v>
      </c>
      <c r="AP852" s="803">
        <v>51</v>
      </c>
      <c r="AQ852" s="806">
        <v>17</v>
      </c>
      <c r="AR852" s="806">
        <v>43</v>
      </c>
      <c r="AS852" s="806">
        <v>236</v>
      </c>
      <c r="AT852" s="803">
        <v>351</v>
      </c>
      <c r="AU852" s="803">
        <v>8.33</v>
      </c>
      <c r="AV852" s="803">
        <v>74.3</v>
      </c>
      <c r="AW852" s="803">
        <v>9930</v>
      </c>
      <c r="AX852" s="803">
        <v>18100</v>
      </c>
      <c r="AY852" s="803">
        <v>483</v>
      </c>
      <c r="AZ852" s="803">
        <v>27100</v>
      </c>
      <c r="BA852" s="803">
        <v>1110</v>
      </c>
      <c r="BB852" s="803">
        <v>4030</v>
      </c>
      <c r="BC852" s="803">
        <v>138</v>
      </c>
      <c r="BD852" s="803">
        <v>6100</v>
      </c>
      <c r="BE852" s="803">
        <v>1.1697685449520301</v>
      </c>
      <c r="BF852" s="803">
        <v>1060</v>
      </c>
      <c r="BG852" s="803">
        <v>24400</v>
      </c>
      <c r="BH852" s="803">
        <v>312000</v>
      </c>
      <c r="BI852" s="803">
        <v>146000</v>
      </c>
      <c r="BJ852" s="803">
        <v>802</v>
      </c>
      <c r="BK852" s="803">
        <v>5680</v>
      </c>
      <c r="BL852" s="807">
        <v>13500</v>
      </c>
    </row>
    <row r="853" spans="35:64" x14ac:dyDescent="0.3">
      <c r="AI853" s="801" t="s">
        <v>1521</v>
      </c>
      <c r="AJ853" s="802">
        <v>34800</v>
      </c>
      <c r="AK853" s="803">
        <v>1100</v>
      </c>
      <c r="AL853" s="803">
        <v>14</v>
      </c>
      <c r="AM853" s="803">
        <v>400</v>
      </c>
      <c r="AN853" s="803">
        <v>25</v>
      </c>
      <c r="AO853" s="803" t="s">
        <v>1522</v>
      </c>
      <c r="AP853" s="803">
        <v>44</v>
      </c>
      <c r="AQ853" s="806">
        <v>15</v>
      </c>
      <c r="AR853" s="806">
        <v>43</v>
      </c>
      <c r="AS853" s="806">
        <v>204</v>
      </c>
      <c r="AT853" s="803">
        <v>304</v>
      </c>
      <c r="AU853" s="803">
        <v>6.67</v>
      </c>
      <c r="AV853" s="803">
        <v>74.3</v>
      </c>
      <c r="AW853" s="803">
        <v>8220</v>
      </c>
      <c r="AX853" s="803">
        <v>14900</v>
      </c>
      <c r="AY853" s="803">
        <v>476</v>
      </c>
      <c r="AZ853" s="803">
        <v>22400</v>
      </c>
      <c r="BA853" s="803">
        <v>729</v>
      </c>
      <c r="BB853" s="803">
        <v>2920</v>
      </c>
      <c r="BC853" s="803">
        <v>121</v>
      </c>
      <c r="BD853" s="803">
        <v>4430</v>
      </c>
      <c r="BE853" s="803">
        <v>1.0472863837489861</v>
      </c>
      <c r="BF853" s="803">
        <v>1065</v>
      </c>
      <c r="BG853" s="803">
        <v>15200</v>
      </c>
      <c r="BH853" s="803">
        <v>207000</v>
      </c>
      <c r="BI853" s="803">
        <v>133000</v>
      </c>
      <c r="BJ853" s="803">
        <v>582</v>
      </c>
      <c r="BK853" s="803">
        <v>4530</v>
      </c>
      <c r="BL853" s="807">
        <v>11200</v>
      </c>
    </row>
    <row r="854" spans="35:64" x14ac:dyDescent="0.3">
      <c r="AI854" s="801" t="s">
        <v>1523</v>
      </c>
      <c r="AJ854" s="802">
        <v>29800</v>
      </c>
      <c r="AK854" s="803">
        <v>1100</v>
      </c>
      <c r="AL854" s="803">
        <v>14</v>
      </c>
      <c r="AM854" s="803">
        <v>300</v>
      </c>
      <c r="AN854" s="803">
        <v>25</v>
      </c>
      <c r="AO854" s="803" t="s">
        <v>1524</v>
      </c>
      <c r="AP854" s="803">
        <v>39</v>
      </c>
      <c r="AQ854" s="806">
        <v>15</v>
      </c>
      <c r="AR854" s="806">
        <v>43</v>
      </c>
      <c r="AS854" s="806">
        <v>184</v>
      </c>
      <c r="AT854" s="803">
        <v>273</v>
      </c>
      <c r="AU854" s="803">
        <v>8</v>
      </c>
      <c r="AV854" s="803">
        <v>75</v>
      </c>
      <c r="AW854" s="803">
        <v>7160</v>
      </c>
      <c r="AX854" s="803">
        <v>13000</v>
      </c>
      <c r="AY854" s="803">
        <v>472</v>
      </c>
      <c r="AZ854" s="803">
        <v>19900</v>
      </c>
      <c r="BA854" s="803">
        <v>625</v>
      </c>
      <c r="BB854" s="803">
        <v>2500</v>
      </c>
      <c r="BC854" s="803">
        <v>118</v>
      </c>
      <c r="BD854" s="803">
        <v>3800</v>
      </c>
      <c r="BE854" s="803">
        <v>1.0320687727702069</v>
      </c>
      <c r="BF854" s="803">
        <v>1070</v>
      </c>
      <c r="BG854" s="803">
        <v>9950</v>
      </c>
      <c r="BH854" s="803">
        <v>179000</v>
      </c>
      <c r="BI854" s="803">
        <v>134000</v>
      </c>
      <c r="BJ854" s="803">
        <v>502</v>
      </c>
      <c r="BK854" s="803">
        <v>3900</v>
      </c>
      <c r="BL854" s="807">
        <v>9920</v>
      </c>
    </row>
    <row r="855" spans="35:64" x14ac:dyDescent="0.3">
      <c r="AI855" s="801" t="s">
        <v>1525</v>
      </c>
      <c r="AJ855" s="802">
        <v>57100</v>
      </c>
      <c r="AK855" s="803">
        <v>1000</v>
      </c>
      <c r="AL855" s="803">
        <v>14</v>
      </c>
      <c r="AM855" s="803">
        <v>550</v>
      </c>
      <c r="AN855" s="803">
        <v>40</v>
      </c>
      <c r="AO855" s="803" t="s">
        <v>1526</v>
      </c>
      <c r="AP855" s="803">
        <v>39</v>
      </c>
      <c r="AQ855" s="803">
        <v>15</v>
      </c>
      <c r="AR855" s="803">
        <v>43</v>
      </c>
      <c r="AS855" s="806">
        <v>157</v>
      </c>
      <c r="AT855" s="803">
        <v>234</v>
      </c>
      <c r="AU855" s="803">
        <v>6</v>
      </c>
      <c r="AV855" s="803">
        <v>75</v>
      </c>
      <c r="AW855" s="803">
        <v>5720</v>
      </c>
      <c r="AX855" s="803">
        <v>10400</v>
      </c>
      <c r="AY855" s="803">
        <v>461</v>
      </c>
      <c r="AZ855" s="803">
        <v>16700</v>
      </c>
      <c r="BA855" s="803">
        <v>320</v>
      </c>
      <c r="BB855" s="803">
        <v>1600</v>
      </c>
      <c r="BC855" s="803">
        <v>91</v>
      </c>
      <c r="BD855" s="803">
        <v>2450</v>
      </c>
      <c r="BE855" s="803">
        <v>0.8117904159959507</v>
      </c>
      <c r="BF855" s="803">
        <v>1070</v>
      </c>
      <c r="BG855" s="803">
        <v>8150</v>
      </c>
      <c r="BH855" s="803">
        <v>91700</v>
      </c>
      <c r="BI855" s="803">
        <v>107000</v>
      </c>
      <c r="BJ855" s="803">
        <v>321</v>
      </c>
      <c r="BK855" s="803">
        <v>3100</v>
      </c>
      <c r="BL855" s="807">
        <v>8310</v>
      </c>
    </row>
    <row r="856" spans="35:64" x14ac:dyDescent="0.3">
      <c r="AI856" s="801" t="s">
        <v>1527</v>
      </c>
      <c r="AJ856" s="802">
        <v>48100</v>
      </c>
      <c r="AK856" s="803">
        <v>1000</v>
      </c>
      <c r="AL856" s="803">
        <v>14</v>
      </c>
      <c r="AM856" s="803">
        <v>500</v>
      </c>
      <c r="AN856" s="803">
        <v>35</v>
      </c>
      <c r="AO856" s="803" t="s">
        <v>1528</v>
      </c>
      <c r="AP856" s="803">
        <v>34</v>
      </c>
      <c r="AQ856" s="803">
        <v>15</v>
      </c>
      <c r="AR856" s="803">
        <v>43</v>
      </c>
      <c r="AS856" s="806">
        <v>300</v>
      </c>
      <c r="AT856" s="803">
        <v>447</v>
      </c>
      <c r="AU856" s="803">
        <v>6.88</v>
      </c>
      <c r="AV856" s="803">
        <v>65.7</v>
      </c>
      <c r="AW856" s="803">
        <v>11100</v>
      </c>
      <c r="AX856" s="803">
        <v>22200</v>
      </c>
      <c r="AY856" s="803">
        <v>454</v>
      </c>
      <c r="AZ856" s="803">
        <v>14700</v>
      </c>
      <c r="BA856" s="803">
        <v>267</v>
      </c>
      <c r="BB856" s="803">
        <v>1330</v>
      </c>
      <c r="BC856" s="803">
        <v>87.5</v>
      </c>
      <c r="BD856" s="803">
        <v>2050</v>
      </c>
      <c r="BE856" s="803">
        <v>0.79604001405376523</v>
      </c>
      <c r="BF856" s="803">
        <v>1075</v>
      </c>
      <c r="BG856" s="803">
        <v>5130</v>
      </c>
      <c r="BH856" s="803">
        <v>77100</v>
      </c>
      <c r="BI856" s="803">
        <v>108000</v>
      </c>
      <c r="BJ856" s="803">
        <v>269</v>
      </c>
      <c r="BK856" s="803">
        <v>2590</v>
      </c>
      <c r="BL856" s="807">
        <v>7300</v>
      </c>
    </row>
    <row r="857" spans="35:64" x14ac:dyDescent="0.3">
      <c r="AI857" s="801" t="s">
        <v>1529</v>
      </c>
      <c r="AJ857" s="802">
        <v>43300</v>
      </c>
      <c r="AK857" s="803">
        <v>1000</v>
      </c>
      <c r="AL857" s="803">
        <v>14</v>
      </c>
      <c r="AM857" s="803">
        <v>500</v>
      </c>
      <c r="AN857" s="803">
        <v>30</v>
      </c>
      <c r="AO857" s="803" t="s">
        <v>1530</v>
      </c>
      <c r="AP857" s="803">
        <v>34</v>
      </c>
      <c r="AQ857" s="803">
        <v>15</v>
      </c>
      <c r="AR857" s="803">
        <v>43</v>
      </c>
      <c r="AS857" s="806">
        <v>253</v>
      </c>
      <c r="AT857" s="803">
        <v>377</v>
      </c>
      <c r="AU857" s="803">
        <v>7.14</v>
      </c>
      <c r="AV857" s="803">
        <v>66.400000000000006</v>
      </c>
      <c r="AW857" s="803">
        <v>9120</v>
      </c>
      <c r="AX857" s="803">
        <v>18200</v>
      </c>
      <c r="AY857" s="803">
        <v>438</v>
      </c>
      <c r="AZ857" s="803">
        <v>12000</v>
      </c>
      <c r="BA857" s="803">
        <v>113</v>
      </c>
      <c r="BB857" s="803">
        <v>752</v>
      </c>
      <c r="BC857" s="803">
        <v>61.5</v>
      </c>
      <c r="BD857" s="803">
        <v>1180</v>
      </c>
      <c r="BE857" s="803">
        <v>0.5792632765618676</v>
      </c>
      <c r="BF857" s="803">
        <v>1075</v>
      </c>
      <c r="BG857" s="803">
        <v>4090</v>
      </c>
      <c r="BH857" s="803">
        <v>32600</v>
      </c>
      <c r="BI857" s="803">
        <v>80600</v>
      </c>
      <c r="BJ857" s="803">
        <v>151</v>
      </c>
      <c r="BK857" s="803">
        <v>1920</v>
      </c>
      <c r="BL857" s="807">
        <v>5960</v>
      </c>
    </row>
    <row r="858" spans="35:64" x14ac:dyDescent="0.3">
      <c r="AI858" s="801" t="s">
        <v>1531</v>
      </c>
      <c r="AJ858" s="802">
        <v>37300</v>
      </c>
      <c r="AK858" s="803">
        <v>1000</v>
      </c>
      <c r="AL858" s="803">
        <v>14</v>
      </c>
      <c r="AM858" s="803">
        <v>400</v>
      </c>
      <c r="AN858" s="803">
        <v>30</v>
      </c>
      <c r="AO858" s="803" t="s">
        <v>1532</v>
      </c>
      <c r="AP858" s="803">
        <v>51</v>
      </c>
      <c r="AQ858" s="803">
        <v>17</v>
      </c>
      <c r="AR858" s="803">
        <v>39</v>
      </c>
      <c r="AS858" s="806">
        <v>228</v>
      </c>
      <c r="AT858" s="803">
        <v>340</v>
      </c>
      <c r="AU858" s="803">
        <v>8.33</v>
      </c>
      <c r="AV858" s="803">
        <v>67.099999999999994</v>
      </c>
      <c r="AW858" s="803">
        <v>8060</v>
      </c>
      <c r="AX858" s="803">
        <v>16100</v>
      </c>
      <c r="AY858" s="803">
        <v>441</v>
      </c>
      <c r="AZ858" s="803">
        <v>24200</v>
      </c>
      <c r="BA858" s="803">
        <v>1110</v>
      </c>
      <c r="BB858" s="803">
        <v>4030</v>
      </c>
      <c r="BC858" s="803">
        <v>139</v>
      </c>
      <c r="BD858" s="803">
        <v>6100</v>
      </c>
      <c r="BE858" s="803">
        <v>1.232336314974122</v>
      </c>
      <c r="BF858" s="803">
        <v>960</v>
      </c>
      <c r="BG858" s="803">
        <v>24300</v>
      </c>
      <c r="BH858" s="803">
        <v>256000</v>
      </c>
      <c r="BI858" s="803">
        <v>132000</v>
      </c>
      <c r="BJ858" s="803">
        <v>726</v>
      </c>
      <c r="BK858" s="803">
        <v>5150</v>
      </c>
      <c r="BL858" s="807">
        <v>12000</v>
      </c>
    </row>
    <row r="859" spans="35:64" x14ac:dyDescent="0.3">
      <c r="AI859" s="801" t="s">
        <v>1533</v>
      </c>
      <c r="AJ859" s="802">
        <v>33400</v>
      </c>
      <c r="AK859" s="803">
        <v>1000</v>
      </c>
      <c r="AL859" s="803">
        <v>14</v>
      </c>
      <c r="AM859" s="803">
        <v>400</v>
      </c>
      <c r="AN859" s="803">
        <v>25</v>
      </c>
      <c r="AO859" s="803" t="s">
        <v>1534</v>
      </c>
      <c r="AP859" s="803">
        <v>44</v>
      </c>
      <c r="AQ859" s="803">
        <v>15</v>
      </c>
      <c r="AR859" s="803">
        <v>39</v>
      </c>
      <c r="AS859" s="806">
        <v>197</v>
      </c>
      <c r="AT859" s="803">
        <v>293</v>
      </c>
      <c r="AU859" s="803">
        <v>6.67</v>
      </c>
      <c r="AV859" s="803">
        <v>67.099999999999994</v>
      </c>
      <c r="AW859" s="803">
        <v>6640</v>
      </c>
      <c r="AX859" s="803">
        <v>13300</v>
      </c>
      <c r="AY859" s="803">
        <v>435</v>
      </c>
      <c r="AZ859" s="803">
        <v>20000</v>
      </c>
      <c r="BA859" s="803">
        <v>729</v>
      </c>
      <c r="BB859" s="803">
        <v>2920</v>
      </c>
      <c r="BC859" s="803">
        <v>123</v>
      </c>
      <c r="BD859" s="803">
        <v>4420</v>
      </c>
      <c r="BE859" s="803">
        <v>1.1048331415838639</v>
      </c>
      <c r="BF859" s="803">
        <v>965</v>
      </c>
      <c r="BG859" s="803">
        <v>15100</v>
      </c>
      <c r="BH859" s="803">
        <v>170000</v>
      </c>
      <c r="BI859" s="803">
        <v>121000</v>
      </c>
      <c r="BJ859" s="803">
        <v>528</v>
      </c>
      <c r="BK859" s="803">
        <v>4100</v>
      </c>
      <c r="BL859" s="807">
        <v>9960</v>
      </c>
    </row>
    <row r="860" spans="35:64" x14ac:dyDescent="0.3">
      <c r="AI860" s="801" t="s">
        <v>1535</v>
      </c>
      <c r="AJ860" s="802">
        <v>28400</v>
      </c>
      <c r="AK860" s="803">
        <v>1000</v>
      </c>
      <c r="AL860" s="803">
        <v>14</v>
      </c>
      <c r="AM860" s="803">
        <v>300</v>
      </c>
      <c r="AN860" s="803">
        <v>25</v>
      </c>
      <c r="AO860" s="803" t="s">
        <v>1536</v>
      </c>
      <c r="AP860" s="803">
        <v>39</v>
      </c>
      <c r="AQ860" s="803">
        <v>15</v>
      </c>
      <c r="AR860" s="803">
        <v>39</v>
      </c>
      <c r="AS860" s="806">
        <v>176</v>
      </c>
      <c r="AT860" s="803">
        <v>262</v>
      </c>
      <c r="AU860" s="803">
        <v>8</v>
      </c>
      <c r="AV860" s="803">
        <v>67.900000000000006</v>
      </c>
      <c r="AW860" s="803">
        <v>5780</v>
      </c>
      <c r="AX860" s="803">
        <v>11600</v>
      </c>
      <c r="AY860" s="803">
        <v>431</v>
      </c>
      <c r="AZ860" s="803">
        <v>17700</v>
      </c>
      <c r="BA860" s="803">
        <v>625</v>
      </c>
      <c r="BB860" s="803">
        <v>2500</v>
      </c>
      <c r="BC860" s="803">
        <v>120</v>
      </c>
      <c r="BD860" s="803">
        <v>3800</v>
      </c>
      <c r="BE860" s="803">
        <v>1.0905154355527069</v>
      </c>
      <c r="BF860" s="803">
        <v>970</v>
      </c>
      <c r="BG860" s="803">
        <v>9860</v>
      </c>
      <c r="BH860" s="803">
        <v>147000</v>
      </c>
      <c r="BI860" s="803">
        <v>121000</v>
      </c>
      <c r="BJ860" s="803">
        <v>455</v>
      </c>
      <c r="BK860" s="803">
        <v>3540</v>
      </c>
      <c r="BL860" s="807">
        <v>8820</v>
      </c>
    </row>
    <row r="861" spans="35:64" x14ac:dyDescent="0.3">
      <c r="AI861" s="801" t="s">
        <v>1537</v>
      </c>
      <c r="AJ861" s="802">
        <v>25600</v>
      </c>
      <c r="AK861" s="803">
        <v>1000</v>
      </c>
      <c r="AL861" s="803">
        <v>14</v>
      </c>
      <c r="AM861" s="803">
        <v>300</v>
      </c>
      <c r="AN861" s="803">
        <v>20</v>
      </c>
      <c r="AO861" s="803" t="s">
        <v>1538</v>
      </c>
      <c r="AP861" s="803">
        <v>39</v>
      </c>
      <c r="AQ861" s="803">
        <v>15</v>
      </c>
      <c r="AR861" s="803">
        <v>39</v>
      </c>
      <c r="AS861" s="806">
        <v>150</v>
      </c>
      <c r="AT861" s="803">
        <v>223</v>
      </c>
      <c r="AU861" s="803">
        <v>6</v>
      </c>
      <c r="AV861" s="803">
        <v>67.900000000000006</v>
      </c>
      <c r="AW861" s="803">
        <v>4590</v>
      </c>
      <c r="AX861" s="803">
        <v>9190</v>
      </c>
      <c r="AY861" s="803">
        <v>422</v>
      </c>
      <c r="AZ861" s="803">
        <v>14800</v>
      </c>
      <c r="BA861" s="803">
        <v>320</v>
      </c>
      <c r="BB861" s="803">
        <v>1600</v>
      </c>
      <c r="BC861" s="803">
        <v>92.7</v>
      </c>
      <c r="BD861" s="803">
        <v>2450</v>
      </c>
      <c r="BE861" s="803">
        <v>0.85980942008932115</v>
      </c>
      <c r="BF861" s="803">
        <v>970</v>
      </c>
      <c r="BG861" s="803">
        <v>8060</v>
      </c>
      <c r="BH861" s="803">
        <v>75300</v>
      </c>
      <c r="BI861" s="803">
        <v>97000</v>
      </c>
      <c r="BJ861" s="803">
        <v>291</v>
      </c>
      <c r="BK861" s="803">
        <v>2810</v>
      </c>
      <c r="BL861" s="807">
        <v>7370</v>
      </c>
    </row>
    <row r="862" spans="35:64" x14ac:dyDescent="0.3">
      <c r="AI862" s="801" t="s">
        <v>1539</v>
      </c>
      <c r="AJ862" s="802">
        <v>53200</v>
      </c>
      <c r="AK862" s="803">
        <v>900</v>
      </c>
      <c r="AL862" s="803">
        <v>11</v>
      </c>
      <c r="AM862" s="803">
        <v>550</v>
      </c>
      <c r="AN862" s="803">
        <v>40</v>
      </c>
      <c r="AO862" s="803" t="s">
        <v>1540</v>
      </c>
      <c r="AP862" s="803">
        <v>34</v>
      </c>
      <c r="AQ862" s="803">
        <v>15</v>
      </c>
      <c r="AR862" s="803">
        <v>39</v>
      </c>
      <c r="AS862" s="806">
        <v>134</v>
      </c>
      <c r="AT862" s="803">
        <v>200</v>
      </c>
      <c r="AU862" s="803">
        <v>7.5</v>
      </c>
      <c r="AV862" s="803">
        <v>68.599999999999994</v>
      </c>
      <c r="AW862" s="803">
        <v>3940</v>
      </c>
      <c r="AX862" s="803">
        <v>7880</v>
      </c>
      <c r="AY862" s="803">
        <v>416</v>
      </c>
      <c r="AZ862" s="803">
        <v>13000</v>
      </c>
      <c r="BA862" s="803">
        <v>267</v>
      </c>
      <c r="BB862" s="803">
        <v>1330</v>
      </c>
      <c r="BC862" s="803">
        <v>89.4</v>
      </c>
      <c r="BD862" s="803">
        <v>2050</v>
      </c>
      <c r="BE862" s="803">
        <v>0.84369642835862813</v>
      </c>
      <c r="BF862" s="803">
        <v>975</v>
      </c>
      <c r="BG862" s="803">
        <v>5040</v>
      </c>
      <c r="BH862" s="803">
        <v>63400</v>
      </c>
      <c r="BI862" s="803">
        <v>97500</v>
      </c>
      <c r="BJ862" s="803">
        <v>244</v>
      </c>
      <c r="BK862" s="803">
        <v>2350</v>
      </c>
      <c r="BL862" s="807">
        <v>6450</v>
      </c>
    </row>
    <row r="863" spans="35:64" x14ac:dyDescent="0.3">
      <c r="AI863" s="801" t="s">
        <v>1541</v>
      </c>
      <c r="AJ863" s="802">
        <v>44300</v>
      </c>
      <c r="AK863" s="803">
        <v>900</v>
      </c>
      <c r="AL863" s="803">
        <v>11</v>
      </c>
      <c r="AM863" s="803">
        <v>500</v>
      </c>
      <c r="AN863" s="803">
        <v>35</v>
      </c>
      <c r="AO863" s="803" t="s">
        <v>1542</v>
      </c>
      <c r="AP863" s="803">
        <v>34</v>
      </c>
      <c r="AQ863" s="803">
        <v>15</v>
      </c>
      <c r="AR863" s="803">
        <v>39</v>
      </c>
      <c r="AS863" s="806">
        <v>279</v>
      </c>
      <c r="AT863" s="803">
        <v>417</v>
      </c>
      <c r="AU863" s="803">
        <v>6.88</v>
      </c>
      <c r="AV863" s="803">
        <v>74.5</v>
      </c>
      <c r="AW863" s="803">
        <v>8680</v>
      </c>
      <c r="AX863" s="803">
        <v>19300</v>
      </c>
      <c r="AY863" s="803">
        <v>402</v>
      </c>
      <c r="AZ863" s="803">
        <v>10500</v>
      </c>
      <c r="BA863" s="803">
        <v>113</v>
      </c>
      <c r="BB863" s="803">
        <v>752</v>
      </c>
      <c r="BC863" s="803">
        <v>63</v>
      </c>
      <c r="BD863" s="803">
        <v>1170</v>
      </c>
      <c r="BE863" s="803">
        <v>0.61573943182382529</v>
      </c>
      <c r="BF863" s="803">
        <v>975</v>
      </c>
      <c r="BG863" s="803">
        <v>3990</v>
      </c>
      <c r="BH863" s="803">
        <v>26800</v>
      </c>
      <c r="BI863" s="803">
        <v>73100</v>
      </c>
      <c r="BJ863" s="803">
        <v>137</v>
      </c>
      <c r="BK863" s="803">
        <v>1740</v>
      </c>
      <c r="BL863" s="807">
        <v>5240</v>
      </c>
    </row>
    <row r="864" spans="35:64" x14ac:dyDescent="0.3">
      <c r="AI864" s="801" t="s">
        <v>1543</v>
      </c>
      <c r="AJ864" s="802">
        <v>39400</v>
      </c>
      <c r="AK864" s="803">
        <v>900</v>
      </c>
      <c r="AL864" s="803">
        <v>11</v>
      </c>
      <c r="AM864" s="803">
        <v>500</v>
      </c>
      <c r="AN864" s="803">
        <v>30</v>
      </c>
      <c r="AO864" s="803" t="s">
        <v>1544</v>
      </c>
      <c r="AP864" s="803">
        <v>29</v>
      </c>
      <c r="AQ864" s="803">
        <v>15</v>
      </c>
      <c r="AR864" s="803">
        <v>39</v>
      </c>
      <c r="AS864" s="806">
        <v>233</v>
      </c>
      <c r="AT864" s="803">
        <v>347</v>
      </c>
      <c r="AU864" s="803">
        <v>7.14</v>
      </c>
      <c r="AV864" s="803">
        <v>75.5</v>
      </c>
      <c r="AW864" s="803">
        <v>7100</v>
      </c>
      <c r="AX864" s="803">
        <v>15800</v>
      </c>
      <c r="AY864" s="803">
        <v>393</v>
      </c>
      <c r="AZ864" s="803">
        <v>9170</v>
      </c>
      <c r="BA864" s="803">
        <v>90.2</v>
      </c>
      <c r="BB864" s="803">
        <v>602</v>
      </c>
      <c r="BC864" s="803">
        <v>59.4</v>
      </c>
      <c r="BD864" s="803">
        <v>948</v>
      </c>
      <c r="BE864" s="803">
        <v>0.5958932376057654</v>
      </c>
      <c r="BF864" s="803">
        <v>980</v>
      </c>
      <c r="BG864" s="803">
        <v>2480</v>
      </c>
      <c r="BH864" s="803">
        <v>21700</v>
      </c>
      <c r="BI864" s="803">
        <v>73500</v>
      </c>
      <c r="BJ864" s="803">
        <v>110</v>
      </c>
      <c r="BK864" s="803">
        <v>1400</v>
      </c>
      <c r="BL864" s="807">
        <v>4550</v>
      </c>
    </row>
    <row r="865" spans="35:64" x14ac:dyDescent="0.3">
      <c r="AI865" s="801" t="s">
        <v>1545</v>
      </c>
      <c r="AJ865" s="802">
        <v>33400</v>
      </c>
      <c r="AK865" s="803">
        <v>900</v>
      </c>
      <c r="AL865" s="803">
        <v>11</v>
      </c>
      <c r="AM865" s="803">
        <v>400</v>
      </c>
      <c r="AN865" s="803">
        <v>30</v>
      </c>
      <c r="AO865" s="803" t="s">
        <v>1546</v>
      </c>
      <c r="AP865" s="803">
        <v>51</v>
      </c>
      <c r="AQ865" s="803">
        <v>16</v>
      </c>
      <c r="AR865" s="803">
        <v>35</v>
      </c>
      <c r="AS865" s="806">
        <v>208</v>
      </c>
      <c r="AT865" s="803">
        <v>309</v>
      </c>
      <c r="AU865" s="803">
        <v>8.33</v>
      </c>
      <c r="AV865" s="803">
        <v>76.400000000000006</v>
      </c>
      <c r="AW865" s="803">
        <v>6240</v>
      </c>
      <c r="AX865" s="803">
        <v>13900</v>
      </c>
      <c r="AY865" s="803">
        <v>404</v>
      </c>
      <c r="AZ865" s="803">
        <v>20800</v>
      </c>
      <c r="BA865" s="803">
        <v>1110</v>
      </c>
      <c r="BB865" s="803">
        <v>4030</v>
      </c>
      <c r="BC865" s="803">
        <v>144</v>
      </c>
      <c r="BD865" s="803">
        <v>6080</v>
      </c>
      <c r="BE865" s="803">
        <v>1.318285111860048</v>
      </c>
      <c r="BF865" s="803">
        <v>860</v>
      </c>
      <c r="BG865" s="803">
        <v>23800</v>
      </c>
      <c r="BH865" s="803">
        <v>205000</v>
      </c>
      <c r="BI865" s="803">
        <v>118000</v>
      </c>
      <c r="BJ865" s="803">
        <v>650</v>
      </c>
      <c r="BK865" s="803">
        <v>4640</v>
      </c>
      <c r="BL865" s="807">
        <v>10400</v>
      </c>
    </row>
    <row r="866" spans="35:64" x14ac:dyDescent="0.3">
      <c r="AI866" s="801" t="s">
        <v>1547</v>
      </c>
      <c r="AJ866" s="802">
        <v>29500</v>
      </c>
      <c r="AK866" s="803">
        <v>900</v>
      </c>
      <c r="AL866" s="803">
        <v>11</v>
      </c>
      <c r="AM866" s="803">
        <v>400</v>
      </c>
      <c r="AN866" s="803">
        <v>25</v>
      </c>
      <c r="AO866" s="803" t="s">
        <v>1548</v>
      </c>
      <c r="AP866" s="803">
        <v>44</v>
      </c>
      <c r="AQ866" s="803">
        <v>14</v>
      </c>
      <c r="AR866" s="803">
        <v>35</v>
      </c>
      <c r="AS866" s="806">
        <v>176</v>
      </c>
      <c r="AT866" s="803">
        <v>262</v>
      </c>
      <c r="AU866" s="803">
        <v>6.67</v>
      </c>
      <c r="AV866" s="803">
        <v>76.400000000000006</v>
      </c>
      <c r="AW866" s="803">
        <v>5110</v>
      </c>
      <c r="AX866" s="803">
        <v>11400</v>
      </c>
      <c r="AY866" s="803">
        <v>400</v>
      </c>
      <c r="AZ866" s="803">
        <v>17100</v>
      </c>
      <c r="BA866" s="803">
        <v>729</v>
      </c>
      <c r="BB866" s="803">
        <v>2920</v>
      </c>
      <c r="BC866" s="803">
        <v>128</v>
      </c>
      <c r="BD866" s="803">
        <v>4400</v>
      </c>
      <c r="BE866" s="803">
        <v>1.1842337520182411</v>
      </c>
      <c r="BF866" s="803">
        <v>865</v>
      </c>
      <c r="BG866" s="803">
        <v>14700</v>
      </c>
      <c r="BH866" s="803">
        <v>136000</v>
      </c>
      <c r="BI866" s="803">
        <v>108000</v>
      </c>
      <c r="BJ866" s="803">
        <v>473</v>
      </c>
      <c r="BK866" s="803">
        <v>3700</v>
      </c>
      <c r="BL866" s="807">
        <v>8520</v>
      </c>
    </row>
    <row r="867" spans="35:64" x14ac:dyDescent="0.3">
      <c r="AI867" s="801" t="s">
        <v>1549</v>
      </c>
      <c r="AJ867" s="802">
        <v>24500</v>
      </c>
      <c r="AK867" s="803">
        <v>900</v>
      </c>
      <c r="AL867" s="803">
        <v>11</v>
      </c>
      <c r="AM867" s="803">
        <v>300</v>
      </c>
      <c r="AN867" s="803">
        <v>25</v>
      </c>
      <c r="AO867" s="803" t="s">
        <v>1550</v>
      </c>
      <c r="AP867" s="803">
        <v>39</v>
      </c>
      <c r="AQ867" s="803">
        <v>14</v>
      </c>
      <c r="AR867" s="803">
        <v>35</v>
      </c>
      <c r="AS867" s="806">
        <v>156</v>
      </c>
      <c r="AT867" s="803">
        <v>231</v>
      </c>
      <c r="AU867" s="803">
        <v>8</v>
      </c>
      <c r="AV867" s="803">
        <v>77.3</v>
      </c>
      <c r="AW867" s="803">
        <v>4410</v>
      </c>
      <c r="AX867" s="803">
        <v>9810</v>
      </c>
      <c r="AY867" s="803">
        <v>398</v>
      </c>
      <c r="AZ867" s="803">
        <v>15000</v>
      </c>
      <c r="BA867" s="803">
        <v>625</v>
      </c>
      <c r="BB867" s="803">
        <v>2500</v>
      </c>
      <c r="BC867" s="803">
        <v>126</v>
      </c>
      <c r="BD867" s="803">
        <v>3780</v>
      </c>
      <c r="BE867" s="803">
        <v>1.1731355924933879</v>
      </c>
      <c r="BF867" s="803">
        <v>870</v>
      </c>
      <c r="BG867" s="803">
        <v>9370</v>
      </c>
      <c r="BH867" s="803">
        <v>118000</v>
      </c>
      <c r="BI867" s="803">
        <v>109000</v>
      </c>
      <c r="BJ867" s="803">
        <v>408</v>
      </c>
      <c r="BK867" s="803">
        <v>3190</v>
      </c>
      <c r="BL867" s="807">
        <v>7500</v>
      </c>
    </row>
    <row r="868" spans="35:64" x14ac:dyDescent="0.3">
      <c r="AI868" s="801" t="s">
        <v>1551</v>
      </c>
      <c r="AJ868" s="802">
        <v>21600</v>
      </c>
      <c r="AK868" s="803">
        <v>900</v>
      </c>
      <c r="AL868" s="803">
        <v>11</v>
      </c>
      <c r="AM868" s="803">
        <v>300</v>
      </c>
      <c r="AN868" s="803">
        <v>20</v>
      </c>
      <c r="AO868" s="803" t="s">
        <v>1552</v>
      </c>
      <c r="AP868" s="803">
        <v>39</v>
      </c>
      <c r="AQ868" s="803">
        <v>14</v>
      </c>
      <c r="AR868" s="803">
        <v>35</v>
      </c>
      <c r="AS868" s="803">
        <v>128</v>
      </c>
      <c r="AT868" s="803">
        <v>192</v>
      </c>
      <c r="AU868" s="803">
        <v>6</v>
      </c>
      <c r="AV868" s="803">
        <v>77.3</v>
      </c>
      <c r="AW868" s="803">
        <v>3460</v>
      </c>
      <c r="AX868" s="803">
        <v>7680</v>
      </c>
      <c r="AY868" s="803">
        <v>391</v>
      </c>
      <c r="AZ868" s="803">
        <v>12400</v>
      </c>
      <c r="BA868" s="803">
        <v>320</v>
      </c>
      <c r="BB868" s="803">
        <v>1600</v>
      </c>
      <c r="BC868" s="803">
        <v>97.9</v>
      </c>
      <c r="BD868" s="803">
        <v>2430</v>
      </c>
      <c r="BE868" s="803">
        <v>0.92831464213583392</v>
      </c>
      <c r="BF868" s="803">
        <v>870</v>
      </c>
      <c r="BG868" s="803">
        <v>7570</v>
      </c>
      <c r="BH868" s="803">
        <v>60600</v>
      </c>
      <c r="BI868" s="803">
        <v>87000</v>
      </c>
      <c r="BJ868" s="803">
        <v>261</v>
      </c>
      <c r="BK868" s="803">
        <v>2540</v>
      </c>
      <c r="BL868" s="807">
        <v>6190</v>
      </c>
    </row>
    <row r="869" spans="35:64" x14ac:dyDescent="0.3">
      <c r="AI869" s="801" t="s">
        <v>1553</v>
      </c>
      <c r="AJ869" s="802">
        <v>43200</v>
      </c>
      <c r="AK869" s="803">
        <v>800</v>
      </c>
      <c r="AL869" s="803">
        <v>11</v>
      </c>
      <c r="AM869" s="803">
        <v>500</v>
      </c>
      <c r="AN869" s="803">
        <v>35</v>
      </c>
      <c r="AO869" s="803" t="s">
        <v>1554</v>
      </c>
      <c r="AP869" s="803">
        <v>34</v>
      </c>
      <c r="AQ869" s="803">
        <v>14</v>
      </c>
      <c r="AR869" s="803">
        <v>35</v>
      </c>
      <c r="AS869" s="803">
        <v>113</v>
      </c>
      <c r="AT869" s="803">
        <v>169</v>
      </c>
      <c r="AU869" s="803">
        <v>7.5</v>
      </c>
      <c r="AV869" s="803">
        <v>78.2</v>
      </c>
      <c r="AW869" s="803">
        <v>2930</v>
      </c>
      <c r="AX869" s="803">
        <v>6510</v>
      </c>
      <c r="AY869" s="803">
        <v>387</v>
      </c>
      <c r="AZ869" s="803">
        <v>10800</v>
      </c>
      <c r="BA869" s="803">
        <v>267</v>
      </c>
      <c r="BB869" s="803">
        <v>1330</v>
      </c>
      <c r="BC869" s="803">
        <v>95.1</v>
      </c>
      <c r="BD869" s="803">
        <v>2030</v>
      </c>
      <c r="BE869" s="803">
        <v>0.91519522521652719</v>
      </c>
      <c r="BF869" s="803">
        <v>875</v>
      </c>
      <c r="BG869" s="803">
        <v>4540</v>
      </c>
      <c r="BH869" s="803">
        <v>51100</v>
      </c>
      <c r="BI869" s="803">
        <v>87500</v>
      </c>
      <c r="BJ869" s="803">
        <v>219</v>
      </c>
      <c r="BK869" s="803">
        <v>2130</v>
      </c>
      <c r="BL869" s="807">
        <v>5370</v>
      </c>
    </row>
    <row r="870" spans="35:64" x14ac:dyDescent="0.3">
      <c r="AI870" s="801" t="s">
        <v>1555</v>
      </c>
      <c r="AJ870" s="802">
        <v>38300</v>
      </c>
      <c r="AK870" s="803">
        <v>800</v>
      </c>
      <c r="AL870" s="803">
        <v>11</v>
      </c>
      <c r="AM870" s="803">
        <v>500</v>
      </c>
      <c r="AN870" s="803">
        <v>30</v>
      </c>
      <c r="AO870" s="803" t="s">
        <v>1556</v>
      </c>
      <c r="AP870" s="803">
        <v>34</v>
      </c>
      <c r="AQ870" s="803">
        <v>14</v>
      </c>
      <c r="AR870" s="803">
        <v>35</v>
      </c>
      <c r="AS870" s="803">
        <v>228</v>
      </c>
      <c r="AT870" s="803">
        <v>339</v>
      </c>
      <c r="AU870" s="803">
        <v>7.14</v>
      </c>
      <c r="AV870" s="803">
        <v>66.400000000000006</v>
      </c>
      <c r="AW870" s="803">
        <v>5500</v>
      </c>
      <c r="AX870" s="803">
        <v>13700</v>
      </c>
      <c r="AY870" s="803">
        <v>376</v>
      </c>
      <c r="AZ870" s="803">
        <v>8600</v>
      </c>
      <c r="BA870" s="803">
        <v>113</v>
      </c>
      <c r="BB870" s="803">
        <v>751</v>
      </c>
      <c r="BC870" s="803">
        <v>67.8</v>
      </c>
      <c r="BD870" s="803">
        <v>1150</v>
      </c>
      <c r="BE870" s="803">
        <v>0.67196244130929095</v>
      </c>
      <c r="BF870" s="803">
        <v>875</v>
      </c>
      <c r="BG870" s="803">
        <v>3500</v>
      </c>
      <c r="BH870" s="803">
        <v>21600</v>
      </c>
      <c r="BI870" s="803">
        <v>65600</v>
      </c>
      <c r="BJ870" s="803">
        <v>123</v>
      </c>
      <c r="BK870" s="803">
        <v>1580</v>
      </c>
      <c r="BL870" s="807">
        <v>4270</v>
      </c>
    </row>
    <row r="871" spans="35:64" x14ac:dyDescent="0.3">
      <c r="AI871" s="801" t="s">
        <v>1557</v>
      </c>
      <c r="AJ871" s="802">
        <v>32300</v>
      </c>
      <c r="AK871" s="803">
        <v>800</v>
      </c>
      <c r="AL871" s="803">
        <v>11</v>
      </c>
      <c r="AM871" s="803">
        <v>400</v>
      </c>
      <c r="AN871" s="803">
        <v>30</v>
      </c>
      <c r="AO871" s="803" t="s">
        <v>1558</v>
      </c>
      <c r="AP871" s="803">
        <v>29</v>
      </c>
      <c r="AQ871" s="803">
        <v>14</v>
      </c>
      <c r="AR871" s="803">
        <v>35</v>
      </c>
      <c r="AS871" s="803">
        <v>202</v>
      </c>
      <c r="AT871" s="803">
        <v>300</v>
      </c>
      <c r="AU871" s="803">
        <v>8.33</v>
      </c>
      <c r="AV871" s="803">
        <v>67.3</v>
      </c>
      <c r="AW871" s="803">
        <v>4840</v>
      </c>
      <c r="AX871" s="803">
        <v>12100</v>
      </c>
      <c r="AY871" s="803">
        <v>368</v>
      </c>
      <c r="AZ871" s="803">
        <v>7370</v>
      </c>
      <c r="BA871" s="803">
        <v>90.1</v>
      </c>
      <c r="BB871" s="803">
        <v>601</v>
      </c>
      <c r="BC871" s="803">
        <v>64.599999999999994</v>
      </c>
      <c r="BD871" s="803">
        <v>927</v>
      </c>
      <c r="BE871" s="803">
        <v>0.65370935439111566</v>
      </c>
      <c r="BF871" s="803">
        <v>880</v>
      </c>
      <c r="BG871" s="803">
        <v>1980</v>
      </c>
      <c r="BH871" s="803">
        <v>17400</v>
      </c>
      <c r="BI871" s="803">
        <v>66000</v>
      </c>
      <c r="BJ871" s="803">
        <v>99</v>
      </c>
      <c r="BK871" s="803">
        <v>1270</v>
      </c>
      <c r="BL871" s="807">
        <v>3660</v>
      </c>
    </row>
    <row r="872" spans="35:64" x14ac:dyDescent="0.3">
      <c r="AI872" s="801" t="s">
        <v>1559</v>
      </c>
      <c r="AJ872" s="802">
        <v>28400</v>
      </c>
      <c r="AK872" s="803">
        <v>800</v>
      </c>
      <c r="AL872" s="803">
        <v>11</v>
      </c>
      <c r="AM872" s="803">
        <v>400</v>
      </c>
      <c r="AN872" s="803">
        <v>25</v>
      </c>
      <c r="AO872" s="803" t="s">
        <v>1560</v>
      </c>
      <c r="AP872" s="803">
        <v>44</v>
      </c>
      <c r="AQ872" s="803">
        <v>14</v>
      </c>
      <c r="AR872" s="803">
        <v>31</v>
      </c>
      <c r="AS872" s="803">
        <v>170</v>
      </c>
      <c r="AT872" s="803">
        <v>253</v>
      </c>
      <c r="AU872" s="803">
        <v>6.67</v>
      </c>
      <c r="AV872" s="803">
        <v>67.3</v>
      </c>
      <c r="AW872" s="803">
        <v>3950</v>
      </c>
      <c r="AX872" s="803">
        <v>9870</v>
      </c>
      <c r="AY872" s="803">
        <v>357</v>
      </c>
      <c r="AZ872" s="803">
        <v>14900</v>
      </c>
      <c r="BA872" s="803">
        <v>729</v>
      </c>
      <c r="BB872" s="803">
        <v>2920</v>
      </c>
      <c r="BC872" s="803">
        <v>130</v>
      </c>
      <c r="BD872" s="803">
        <v>4400</v>
      </c>
      <c r="BE872" s="803">
        <v>1.267203844278626</v>
      </c>
      <c r="BF872" s="803">
        <v>765</v>
      </c>
      <c r="BG872" s="803">
        <v>14600</v>
      </c>
      <c r="BH872" s="803">
        <v>107000</v>
      </c>
      <c r="BI872" s="803">
        <v>95600</v>
      </c>
      <c r="BJ872" s="803">
        <v>418</v>
      </c>
      <c r="BK872" s="803">
        <v>3270</v>
      </c>
      <c r="BL872" s="807">
        <v>7430</v>
      </c>
    </row>
    <row r="873" spans="35:64" x14ac:dyDescent="0.3">
      <c r="AI873" s="801" t="s">
        <v>1561</v>
      </c>
      <c r="AJ873" s="802">
        <v>23400</v>
      </c>
      <c r="AK873" s="803">
        <v>800</v>
      </c>
      <c r="AL873" s="803">
        <v>11</v>
      </c>
      <c r="AM873" s="803">
        <v>300</v>
      </c>
      <c r="AN873" s="803">
        <v>25</v>
      </c>
      <c r="AO873" s="803" t="s">
        <v>1562</v>
      </c>
      <c r="AP873" s="803">
        <v>39</v>
      </c>
      <c r="AQ873" s="803">
        <v>14</v>
      </c>
      <c r="AR873" s="803">
        <v>31</v>
      </c>
      <c r="AS873" s="803">
        <v>150</v>
      </c>
      <c r="AT873" s="803">
        <v>223</v>
      </c>
      <c r="AU873" s="803">
        <v>8</v>
      </c>
      <c r="AV873" s="803">
        <v>68.2</v>
      </c>
      <c r="AW873" s="803">
        <v>3410</v>
      </c>
      <c r="AX873" s="803">
        <v>8520</v>
      </c>
      <c r="AY873" s="803">
        <v>356</v>
      </c>
      <c r="AZ873" s="803">
        <v>13100</v>
      </c>
      <c r="BA873" s="803">
        <v>625</v>
      </c>
      <c r="BB873" s="803">
        <v>2500</v>
      </c>
      <c r="BC873" s="803">
        <v>128</v>
      </c>
      <c r="BD873" s="803">
        <v>3770</v>
      </c>
      <c r="BE873" s="803">
        <v>1.2540569432465121</v>
      </c>
      <c r="BF873" s="803">
        <v>770</v>
      </c>
      <c r="BG873" s="803">
        <v>9330</v>
      </c>
      <c r="BH873" s="803">
        <v>92700</v>
      </c>
      <c r="BI873" s="803">
        <v>96300</v>
      </c>
      <c r="BJ873" s="803">
        <v>361</v>
      </c>
      <c r="BK873" s="803">
        <v>2820</v>
      </c>
      <c r="BL873" s="807">
        <v>6530</v>
      </c>
    </row>
    <row r="874" spans="35:64" x14ac:dyDescent="0.3">
      <c r="AI874" s="801" t="s">
        <v>1563</v>
      </c>
      <c r="AJ874" s="802">
        <v>20500</v>
      </c>
      <c r="AK874" s="803">
        <v>800</v>
      </c>
      <c r="AL874" s="803">
        <v>11</v>
      </c>
      <c r="AM874" s="803">
        <v>300</v>
      </c>
      <c r="AN874" s="803">
        <v>20</v>
      </c>
      <c r="AO874" s="803" t="s">
        <v>1564</v>
      </c>
      <c r="AP874" s="803">
        <v>39</v>
      </c>
      <c r="AQ874" s="803">
        <v>14</v>
      </c>
      <c r="AR874" s="803">
        <v>31</v>
      </c>
      <c r="AS874" s="803">
        <v>123</v>
      </c>
      <c r="AT874" s="803">
        <v>184</v>
      </c>
      <c r="AU874" s="803">
        <v>6</v>
      </c>
      <c r="AV874" s="803">
        <v>68.2</v>
      </c>
      <c r="AW874" s="803">
        <v>2660</v>
      </c>
      <c r="AX874" s="803">
        <v>6640</v>
      </c>
      <c r="AY874" s="803">
        <v>350</v>
      </c>
      <c r="AZ874" s="803">
        <v>10800</v>
      </c>
      <c r="BA874" s="803">
        <v>320</v>
      </c>
      <c r="BB874" s="803">
        <v>1600</v>
      </c>
      <c r="BC874" s="803">
        <v>99.6</v>
      </c>
      <c r="BD874" s="803">
        <v>2420</v>
      </c>
      <c r="BE874" s="803">
        <v>0.99296406582580488</v>
      </c>
      <c r="BF874" s="803">
        <v>770</v>
      </c>
      <c r="BG874" s="803">
        <v>7530</v>
      </c>
      <c r="BH874" s="803">
        <v>47400</v>
      </c>
      <c r="BI874" s="803">
        <v>77000</v>
      </c>
      <c r="BJ874" s="803">
        <v>231</v>
      </c>
      <c r="BK874" s="803">
        <v>2250</v>
      </c>
      <c r="BL874" s="807">
        <v>5370</v>
      </c>
    </row>
    <row r="875" spans="35:64" x14ac:dyDescent="0.3">
      <c r="AI875" s="801" t="s">
        <v>1565</v>
      </c>
      <c r="AJ875" s="802">
        <v>31200</v>
      </c>
      <c r="AK875" s="803">
        <v>700</v>
      </c>
      <c r="AL875" s="803">
        <v>11</v>
      </c>
      <c r="AM875" s="803">
        <v>400</v>
      </c>
      <c r="AN875" s="803">
        <v>30</v>
      </c>
      <c r="AO875" s="803" t="s">
        <v>1566</v>
      </c>
      <c r="AP875" s="803">
        <v>34</v>
      </c>
      <c r="AQ875" s="803">
        <v>14</v>
      </c>
      <c r="AR875" s="803">
        <v>31</v>
      </c>
      <c r="AS875" s="803">
        <v>108</v>
      </c>
      <c r="AT875" s="803">
        <v>161</v>
      </c>
      <c r="AU875" s="803">
        <v>7.5</v>
      </c>
      <c r="AV875" s="803">
        <v>69.099999999999994</v>
      </c>
      <c r="AW875" s="803">
        <v>2250</v>
      </c>
      <c r="AX875" s="803">
        <v>5610</v>
      </c>
      <c r="AY875" s="803">
        <v>347</v>
      </c>
      <c r="AZ875" s="803">
        <v>9340</v>
      </c>
      <c r="BA875" s="803">
        <v>267</v>
      </c>
      <c r="BB875" s="803">
        <v>1330</v>
      </c>
      <c r="BC875" s="803">
        <v>97</v>
      </c>
      <c r="BD875" s="803">
        <v>2020</v>
      </c>
      <c r="BE875" s="803">
        <v>0.97957280343814868</v>
      </c>
      <c r="BF875" s="803">
        <v>775</v>
      </c>
      <c r="BG875" s="803">
        <v>4500</v>
      </c>
      <c r="BH875" s="803">
        <v>40100</v>
      </c>
      <c r="BI875" s="803">
        <v>77500</v>
      </c>
      <c r="BJ875" s="803">
        <v>194</v>
      </c>
      <c r="BK875" s="803">
        <v>1880</v>
      </c>
      <c r="BL875" s="807">
        <v>4650</v>
      </c>
    </row>
    <row r="876" spans="35:64" x14ac:dyDescent="0.3">
      <c r="AI876" s="801" t="s">
        <v>1567</v>
      </c>
      <c r="AJ876" s="802">
        <v>27300</v>
      </c>
      <c r="AK876" s="803">
        <v>700</v>
      </c>
      <c r="AL876" s="803">
        <v>11</v>
      </c>
      <c r="AM876" s="803">
        <v>400</v>
      </c>
      <c r="AN876" s="803">
        <v>25</v>
      </c>
      <c r="AO876" s="803" t="s">
        <v>1568</v>
      </c>
      <c r="AP876" s="803">
        <v>34</v>
      </c>
      <c r="AQ876" s="803">
        <v>14</v>
      </c>
      <c r="AR876" s="803">
        <v>31</v>
      </c>
      <c r="AS876" s="803">
        <v>164</v>
      </c>
      <c r="AT876" s="803">
        <v>245</v>
      </c>
      <c r="AU876" s="803">
        <v>6.67</v>
      </c>
      <c r="AV876" s="803">
        <v>58.2</v>
      </c>
      <c r="AW876" s="803">
        <v>2950</v>
      </c>
      <c r="AX876" s="803">
        <v>8420</v>
      </c>
      <c r="AY876" s="803">
        <v>337</v>
      </c>
      <c r="AZ876" s="803">
        <v>7410</v>
      </c>
      <c r="BA876" s="803">
        <v>113</v>
      </c>
      <c r="BB876" s="803">
        <v>751</v>
      </c>
      <c r="BC876" s="803">
        <v>69.400000000000006</v>
      </c>
      <c r="BD876" s="803">
        <v>1150</v>
      </c>
      <c r="BE876" s="803">
        <v>0.72077625126093647</v>
      </c>
      <c r="BF876" s="803">
        <v>775</v>
      </c>
      <c r="BG876" s="803">
        <v>3460</v>
      </c>
      <c r="BH876" s="803">
        <v>16900</v>
      </c>
      <c r="BI876" s="803">
        <v>58100</v>
      </c>
      <c r="BJ876" s="803">
        <v>109</v>
      </c>
      <c r="BK876" s="803">
        <v>1400</v>
      </c>
      <c r="BL876" s="807">
        <v>3680</v>
      </c>
    </row>
    <row r="877" spans="35:64" x14ac:dyDescent="0.3">
      <c r="AI877" s="801" t="s">
        <v>1569</v>
      </c>
      <c r="AJ877" s="802">
        <v>24900</v>
      </c>
      <c r="AK877" s="803">
        <v>700</v>
      </c>
      <c r="AL877" s="803">
        <v>11</v>
      </c>
      <c r="AM877" s="803">
        <v>400</v>
      </c>
      <c r="AN877" s="803">
        <v>22</v>
      </c>
      <c r="AO877" s="803" t="s">
        <v>1570</v>
      </c>
      <c r="AP877" s="803">
        <v>29</v>
      </c>
      <c r="AQ877" s="803">
        <v>14</v>
      </c>
      <c r="AR877" s="803">
        <v>31</v>
      </c>
      <c r="AS877" s="803">
        <v>144</v>
      </c>
      <c r="AT877" s="803">
        <v>214</v>
      </c>
      <c r="AU877" s="803">
        <v>8</v>
      </c>
      <c r="AV877" s="803">
        <v>59.1</v>
      </c>
      <c r="AW877" s="803">
        <v>2540</v>
      </c>
      <c r="AX877" s="803">
        <v>7270</v>
      </c>
      <c r="AY877" s="803">
        <v>331</v>
      </c>
      <c r="AZ877" s="803">
        <v>6320</v>
      </c>
      <c r="BA877" s="803">
        <v>90.1</v>
      </c>
      <c r="BB877" s="803">
        <v>601</v>
      </c>
      <c r="BC877" s="803">
        <v>66.3</v>
      </c>
      <c r="BD877" s="803">
        <v>924</v>
      </c>
      <c r="BE877" s="803">
        <v>0.70270020539388489</v>
      </c>
      <c r="BF877" s="803">
        <v>780</v>
      </c>
      <c r="BG877" s="803">
        <v>1940</v>
      </c>
      <c r="BH877" s="803">
        <v>13700</v>
      </c>
      <c r="BI877" s="803">
        <v>58500</v>
      </c>
      <c r="BJ877" s="803">
        <v>87.8</v>
      </c>
      <c r="BK877" s="803">
        <v>1130</v>
      </c>
      <c r="BL877" s="807">
        <v>3130</v>
      </c>
    </row>
    <row r="878" spans="35:64" x14ac:dyDescent="0.3">
      <c r="AI878" s="801" t="s">
        <v>1571</v>
      </c>
      <c r="AJ878" s="802">
        <v>22300</v>
      </c>
      <c r="AK878" s="803">
        <v>700</v>
      </c>
      <c r="AL878" s="803">
        <v>11</v>
      </c>
      <c r="AM878" s="803">
        <v>300</v>
      </c>
      <c r="AN878" s="803">
        <v>25</v>
      </c>
      <c r="AO878" s="803" t="s">
        <v>1572</v>
      </c>
      <c r="AP878" s="803">
        <v>39</v>
      </c>
      <c r="AQ878" s="803">
        <v>14</v>
      </c>
      <c r="AR878" s="803">
        <v>28</v>
      </c>
      <c r="AS878" s="803">
        <v>132</v>
      </c>
      <c r="AT878" s="803">
        <v>196</v>
      </c>
      <c r="AU878" s="803">
        <v>9.09</v>
      </c>
      <c r="AV878" s="803">
        <v>59.6</v>
      </c>
      <c r="AW878" s="803">
        <v>2300</v>
      </c>
      <c r="AX878" s="803">
        <v>6560</v>
      </c>
      <c r="AY878" s="803">
        <v>308</v>
      </c>
      <c r="AZ878" s="803">
        <v>9210</v>
      </c>
      <c r="BA878" s="803">
        <v>320</v>
      </c>
      <c r="BB878" s="803">
        <v>1600</v>
      </c>
      <c r="BC878" s="803">
        <v>101</v>
      </c>
      <c r="BD878" s="803">
        <v>2420</v>
      </c>
      <c r="BE878" s="803">
        <v>1.07188970250475</v>
      </c>
      <c r="BF878" s="803">
        <v>670</v>
      </c>
      <c r="BG878" s="803">
        <v>7480</v>
      </c>
      <c r="BH878" s="803">
        <v>35900</v>
      </c>
      <c r="BI878" s="803">
        <v>67000</v>
      </c>
      <c r="BJ878" s="803">
        <v>201</v>
      </c>
      <c r="BK878" s="803">
        <v>1950</v>
      </c>
      <c r="BL878" s="807">
        <v>4580</v>
      </c>
    </row>
    <row r="879" spans="35:64" x14ac:dyDescent="0.3">
      <c r="AI879" s="801" t="s">
        <v>1573</v>
      </c>
      <c r="AJ879" s="802">
        <v>19400</v>
      </c>
      <c r="AK879" s="803">
        <v>700</v>
      </c>
      <c r="AL879" s="803">
        <v>11</v>
      </c>
      <c r="AM879" s="803">
        <v>300</v>
      </c>
      <c r="AN879" s="803">
        <v>20</v>
      </c>
      <c r="AO879" s="803" t="s">
        <v>1574</v>
      </c>
      <c r="AP879" s="803">
        <v>34</v>
      </c>
      <c r="AQ879" s="803">
        <v>14</v>
      </c>
      <c r="AR879" s="803">
        <v>28</v>
      </c>
      <c r="AS879" s="803">
        <v>117</v>
      </c>
      <c r="AT879" s="803">
        <v>175</v>
      </c>
      <c r="AU879" s="803">
        <v>6</v>
      </c>
      <c r="AV879" s="803">
        <v>59.1</v>
      </c>
      <c r="AW879" s="803">
        <v>1970</v>
      </c>
      <c r="AX879" s="803">
        <v>5640</v>
      </c>
      <c r="AY879" s="803">
        <v>305</v>
      </c>
      <c r="AZ879" s="803">
        <v>7950</v>
      </c>
      <c r="BA879" s="803">
        <v>267</v>
      </c>
      <c r="BB879" s="803">
        <v>1330</v>
      </c>
      <c r="BC879" s="803">
        <v>98.9</v>
      </c>
      <c r="BD879" s="803">
        <v>2020</v>
      </c>
      <c r="BE879" s="803">
        <v>1.0590814294531501</v>
      </c>
      <c r="BF879" s="803">
        <v>675</v>
      </c>
      <c r="BG879" s="803">
        <v>4460</v>
      </c>
      <c r="BH879" s="803">
        <v>30400</v>
      </c>
      <c r="BI879" s="803">
        <v>67500</v>
      </c>
      <c r="BJ879" s="803">
        <v>169</v>
      </c>
      <c r="BK879" s="803">
        <v>1640</v>
      </c>
      <c r="BL879" s="807">
        <v>3960</v>
      </c>
    </row>
    <row r="880" spans="35:64" x14ac:dyDescent="0.3">
      <c r="AI880" s="801" t="s">
        <v>1575</v>
      </c>
      <c r="AJ880" s="802">
        <v>110000</v>
      </c>
      <c r="AK880" s="803">
        <v>650</v>
      </c>
      <c r="AL880" s="803">
        <v>60</v>
      </c>
      <c r="AM880" s="803">
        <v>650</v>
      </c>
      <c r="AN880" s="803">
        <v>60</v>
      </c>
      <c r="AO880" s="803" t="s">
        <v>1576</v>
      </c>
      <c r="AP880" s="803">
        <v>31</v>
      </c>
      <c r="AQ880" s="803">
        <v>14</v>
      </c>
      <c r="AR880" s="803">
        <v>28</v>
      </c>
      <c r="AS880" s="803">
        <v>102</v>
      </c>
      <c r="AT880" s="803">
        <v>152</v>
      </c>
      <c r="AU880" s="803">
        <v>7.5</v>
      </c>
      <c r="AV880" s="803">
        <v>60</v>
      </c>
      <c r="AW880" s="803">
        <v>1660</v>
      </c>
      <c r="AX880" s="803">
        <v>4760</v>
      </c>
      <c r="AY880" s="803">
        <v>303</v>
      </c>
      <c r="AZ880" s="803">
        <v>7190</v>
      </c>
      <c r="BA880" s="803">
        <v>235</v>
      </c>
      <c r="BB880" s="803">
        <v>1170</v>
      </c>
      <c r="BC880" s="803">
        <v>97</v>
      </c>
      <c r="BD880" s="803">
        <v>1780</v>
      </c>
      <c r="BE880" s="803">
        <v>1.046511460200654</v>
      </c>
      <c r="BF880" s="803">
        <v>678</v>
      </c>
      <c r="BG880" s="803">
        <v>3130</v>
      </c>
      <c r="BH880" s="803">
        <v>27000</v>
      </c>
      <c r="BI880" s="803">
        <v>67800</v>
      </c>
      <c r="BJ880" s="803">
        <v>149</v>
      </c>
      <c r="BK880" s="803">
        <v>1450</v>
      </c>
      <c r="BL880" s="807">
        <v>3570</v>
      </c>
    </row>
    <row r="881" spans="35:64" x14ac:dyDescent="0.3">
      <c r="AI881" s="801" t="s">
        <v>1577</v>
      </c>
      <c r="AJ881" s="802">
        <v>94100</v>
      </c>
      <c r="AK881" s="803">
        <v>650</v>
      </c>
      <c r="AL881" s="803">
        <v>30</v>
      </c>
      <c r="AM881" s="803">
        <v>650</v>
      </c>
      <c r="AN881" s="803">
        <v>60</v>
      </c>
      <c r="AO881" s="803" t="s">
        <v>1578</v>
      </c>
      <c r="AP881" s="803">
        <v>34</v>
      </c>
      <c r="AQ881" s="803">
        <v>14</v>
      </c>
      <c r="AR881" s="803">
        <v>28</v>
      </c>
      <c r="AS881" s="803">
        <v>580</v>
      </c>
      <c r="AT881" s="803">
        <v>864</v>
      </c>
      <c r="AU881" s="803">
        <v>5.42</v>
      </c>
      <c r="AV881" s="803">
        <v>8.83</v>
      </c>
      <c r="AW881" s="803">
        <v>7570</v>
      </c>
      <c r="AX881" s="803">
        <v>23300</v>
      </c>
      <c r="AY881" s="803">
        <v>298</v>
      </c>
      <c r="AZ881" s="803">
        <v>6260</v>
      </c>
      <c r="BA881" s="803">
        <v>113</v>
      </c>
      <c r="BB881" s="803">
        <v>751</v>
      </c>
      <c r="BC881" s="803">
        <v>71.099999999999994</v>
      </c>
      <c r="BD881" s="803">
        <v>1150</v>
      </c>
      <c r="BE881" s="803">
        <v>0.78133807857442339</v>
      </c>
      <c r="BF881" s="803">
        <v>675</v>
      </c>
      <c r="BG881" s="803">
        <v>3410</v>
      </c>
      <c r="BH881" s="803">
        <v>12800</v>
      </c>
      <c r="BI881" s="803">
        <v>50600</v>
      </c>
      <c r="BJ881" s="803">
        <v>94.9</v>
      </c>
      <c r="BK881" s="803">
        <v>1220</v>
      </c>
      <c r="BL881" s="807">
        <v>3110</v>
      </c>
    </row>
    <row r="882" spans="35:64" x14ac:dyDescent="0.3">
      <c r="AI882" s="801" t="s">
        <v>1579</v>
      </c>
      <c r="AJ882" s="802">
        <v>76200</v>
      </c>
      <c r="AK882" s="803">
        <v>650</v>
      </c>
      <c r="AL882" s="803">
        <v>20</v>
      </c>
      <c r="AM882" s="803">
        <v>650</v>
      </c>
      <c r="AN882" s="803">
        <v>50</v>
      </c>
      <c r="AO882" s="803" t="s">
        <v>1580</v>
      </c>
      <c r="AP882" s="803">
        <v>29</v>
      </c>
      <c r="AQ882" s="803">
        <v>14</v>
      </c>
      <c r="AR882" s="803">
        <v>28</v>
      </c>
      <c r="AS882" s="803">
        <v>497</v>
      </c>
      <c r="AT882" s="803">
        <v>739</v>
      </c>
      <c r="AU882" s="803">
        <v>5.42</v>
      </c>
      <c r="AV882" s="803">
        <v>17.7</v>
      </c>
      <c r="AW882" s="803">
        <v>7200</v>
      </c>
      <c r="AX882" s="803">
        <v>22100</v>
      </c>
      <c r="AY882" s="803">
        <v>293</v>
      </c>
      <c r="AZ882" s="803">
        <v>5320</v>
      </c>
      <c r="BA882" s="803">
        <v>90.1</v>
      </c>
      <c r="BB882" s="803">
        <v>601</v>
      </c>
      <c r="BC882" s="803">
        <v>68.2</v>
      </c>
      <c r="BD882" s="803">
        <v>921</v>
      </c>
      <c r="BE882" s="803">
        <v>0.76363440774449354</v>
      </c>
      <c r="BF882" s="803">
        <v>680</v>
      </c>
      <c r="BG882" s="803">
        <v>1890</v>
      </c>
      <c r="BH882" s="803">
        <v>10400</v>
      </c>
      <c r="BI882" s="803">
        <v>51000</v>
      </c>
      <c r="BJ882" s="803">
        <v>76.5</v>
      </c>
      <c r="BK882" s="803">
        <v>983</v>
      </c>
      <c r="BL882" s="807">
        <v>2640</v>
      </c>
    </row>
    <row r="883" spans="35:64" x14ac:dyDescent="0.3">
      <c r="AI883" s="801" t="s">
        <v>1581</v>
      </c>
      <c r="AJ883" s="802">
        <v>63600</v>
      </c>
      <c r="AK883" s="803">
        <v>650</v>
      </c>
      <c r="AL883" s="803">
        <v>20</v>
      </c>
      <c r="AM883" s="803">
        <v>650</v>
      </c>
      <c r="AN883" s="803">
        <v>40</v>
      </c>
      <c r="AO883" s="803" t="s">
        <v>1582</v>
      </c>
      <c r="AP883" s="803">
        <v>71</v>
      </c>
      <c r="AQ883" s="803">
        <v>40</v>
      </c>
      <c r="AR883" s="803">
        <v>26</v>
      </c>
      <c r="AS883" s="803">
        <v>402</v>
      </c>
      <c r="AT883" s="803">
        <v>598</v>
      </c>
      <c r="AU883" s="803">
        <v>6.5</v>
      </c>
      <c r="AV883" s="803">
        <v>27.5</v>
      </c>
      <c r="AW883" s="803">
        <v>6150</v>
      </c>
      <c r="AX883" s="803">
        <v>18900</v>
      </c>
      <c r="AY883" s="803">
        <v>262</v>
      </c>
      <c r="AZ883" s="803">
        <v>27300</v>
      </c>
      <c r="BA883" s="803">
        <v>2760</v>
      </c>
      <c r="BB883" s="803">
        <v>8480</v>
      </c>
      <c r="BC883" s="803">
        <v>158</v>
      </c>
      <c r="BD883" s="803">
        <v>13200</v>
      </c>
      <c r="BE883" s="803">
        <v>1.843877824127224</v>
      </c>
      <c r="BF883" s="803">
        <v>590</v>
      </c>
      <c r="BG883" s="803">
        <v>132000</v>
      </c>
      <c r="BH883" s="803">
        <v>240000</v>
      </c>
      <c r="BI883" s="803">
        <v>95900</v>
      </c>
      <c r="BJ883" s="803">
        <v>935</v>
      </c>
      <c r="BK883" s="803">
        <v>5220</v>
      </c>
      <c r="BL883" s="807">
        <v>13600</v>
      </c>
    </row>
    <row r="884" spans="35:64" x14ac:dyDescent="0.3">
      <c r="AI884" s="801" t="s">
        <v>1583</v>
      </c>
      <c r="AJ884" s="802">
        <v>51000</v>
      </c>
      <c r="AK884" s="803">
        <v>650</v>
      </c>
      <c r="AL884" s="803">
        <v>20</v>
      </c>
      <c r="AM884" s="803">
        <v>650</v>
      </c>
      <c r="AN884" s="803">
        <v>30</v>
      </c>
      <c r="AO884" s="803" t="s">
        <v>1584</v>
      </c>
      <c r="AP884" s="803">
        <v>71</v>
      </c>
      <c r="AQ884" s="803">
        <v>25</v>
      </c>
      <c r="AR884" s="803">
        <v>26</v>
      </c>
      <c r="AS884" s="803">
        <v>336</v>
      </c>
      <c r="AT884" s="803">
        <v>499</v>
      </c>
      <c r="AU884" s="803">
        <v>8.1300000000000008</v>
      </c>
      <c r="AV884" s="803">
        <v>28.5</v>
      </c>
      <c r="AW884" s="803">
        <v>5170</v>
      </c>
      <c r="AX884" s="803">
        <v>15900</v>
      </c>
      <c r="AY884" s="803">
        <v>277</v>
      </c>
      <c r="AZ884" s="803">
        <v>25200</v>
      </c>
      <c r="BA884" s="803">
        <v>2750</v>
      </c>
      <c r="BB884" s="803">
        <v>8450</v>
      </c>
      <c r="BC884" s="803">
        <v>171</v>
      </c>
      <c r="BD884" s="803">
        <v>12800</v>
      </c>
      <c r="BE884" s="803">
        <v>1.8869761041363879</v>
      </c>
      <c r="BF884" s="803">
        <v>590</v>
      </c>
      <c r="BG884" s="803">
        <v>98400</v>
      </c>
      <c r="BH884" s="803">
        <v>239000</v>
      </c>
      <c r="BI884" s="803">
        <v>95900</v>
      </c>
      <c r="BJ884" s="803">
        <v>935</v>
      </c>
      <c r="BK884" s="803">
        <v>5490</v>
      </c>
      <c r="BL884" s="807">
        <v>12600</v>
      </c>
    </row>
    <row r="885" spans="35:64" x14ac:dyDescent="0.3">
      <c r="AI885" s="801" t="s">
        <v>1585</v>
      </c>
      <c r="AJ885" s="802">
        <v>101000</v>
      </c>
      <c r="AK885" s="803">
        <v>600</v>
      </c>
      <c r="AL885" s="803">
        <v>60</v>
      </c>
      <c r="AM885" s="803">
        <v>600</v>
      </c>
      <c r="AN885" s="803">
        <v>60</v>
      </c>
      <c r="AO885" s="803" t="s">
        <v>1586</v>
      </c>
      <c r="AP885" s="803">
        <v>61</v>
      </c>
      <c r="AQ885" s="803">
        <v>20</v>
      </c>
      <c r="AR885" s="803">
        <v>26</v>
      </c>
      <c r="AS885" s="803">
        <v>269</v>
      </c>
      <c r="AT885" s="803">
        <v>400</v>
      </c>
      <c r="AU885" s="803">
        <v>10.8</v>
      </c>
      <c r="AV885" s="803">
        <v>29.5</v>
      </c>
      <c r="AW885" s="803">
        <v>4110</v>
      </c>
      <c r="AX885" s="803">
        <v>12600</v>
      </c>
      <c r="AY885" s="803">
        <v>284</v>
      </c>
      <c r="AZ885" s="803">
        <v>21100</v>
      </c>
      <c r="BA885" s="803">
        <v>2290</v>
      </c>
      <c r="BB885" s="803">
        <v>7040</v>
      </c>
      <c r="BC885" s="803">
        <v>173</v>
      </c>
      <c r="BD885" s="803">
        <v>10600</v>
      </c>
      <c r="BE885" s="803">
        <v>1.879265399773187</v>
      </c>
      <c r="BF885" s="803">
        <v>600</v>
      </c>
      <c r="BG885" s="803">
        <v>55600</v>
      </c>
      <c r="BH885" s="803">
        <v>206000</v>
      </c>
      <c r="BI885" s="803">
        <v>97500</v>
      </c>
      <c r="BJ885" s="803">
        <v>792</v>
      </c>
      <c r="BK885" s="803">
        <v>4730</v>
      </c>
      <c r="BL885" s="807">
        <v>10500</v>
      </c>
    </row>
    <row r="886" spans="35:64" x14ac:dyDescent="0.3">
      <c r="AI886" s="801" t="s">
        <v>1587</v>
      </c>
      <c r="AJ886" s="802">
        <v>86600</v>
      </c>
      <c r="AK886" s="803">
        <v>600</v>
      </c>
      <c r="AL886" s="803">
        <v>30</v>
      </c>
      <c r="AM886" s="803">
        <v>600</v>
      </c>
      <c r="AN886" s="803">
        <v>60</v>
      </c>
      <c r="AO886" s="803" t="s">
        <v>1588</v>
      </c>
      <c r="AP886" s="803">
        <v>51</v>
      </c>
      <c r="AQ886" s="803">
        <v>20</v>
      </c>
      <c r="AR886" s="803">
        <v>26</v>
      </c>
      <c r="AS886" s="803">
        <v>531</v>
      </c>
      <c r="AT886" s="803">
        <v>793</v>
      </c>
      <c r="AU886" s="803">
        <v>5</v>
      </c>
      <c r="AV886" s="803">
        <v>8</v>
      </c>
      <c r="AW886" s="803">
        <v>5830</v>
      </c>
      <c r="AX886" s="803">
        <v>19400</v>
      </c>
      <c r="AY886" s="803">
        <v>285</v>
      </c>
      <c r="AZ886" s="803">
        <v>17500</v>
      </c>
      <c r="BA886" s="803">
        <v>1830</v>
      </c>
      <c r="BB886" s="803">
        <v>5630</v>
      </c>
      <c r="BC886" s="803">
        <v>170</v>
      </c>
      <c r="BD886" s="803">
        <v>8510</v>
      </c>
      <c r="BE886" s="803">
        <v>1.8470545898126729</v>
      </c>
      <c r="BF886" s="803">
        <v>610</v>
      </c>
      <c r="BG886" s="803">
        <v>29300</v>
      </c>
      <c r="BH886" s="803">
        <v>170000</v>
      </c>
      <c r="BI886" s="803">
        <v>99100</v>
      </c>
      <c r="BJ886" s="803">
        <v>644</v>
      </c>
      <c r="BK886" s="803">
        <v>3840</v>
      </c>
      <c r="BL886" s="807">
        <v>8740</v>
      </c>
    </row>
    <row r="887" spans="35:64" x14ac:dyDescent="0.3">
      <c r="AI887" s="801" t="s">
        <v>1589</v>
      </c>
      <c r="AJ887" s="802">
        <v>70200</v>
      </c>
      <c r="AK887" s="803">
        <v>600</v>
      </c>
      <c r="AL887" s="803">
        <v>20</v>
      </c>
      <c r="AM887" s="803">
        <v>600</v>
      </c>
      <c r="AN887" s="803">
        <v>50</v>
      </c>
      <c r="AO887" s="803" t="s">
        <v>1590</v>
      </c>
      <c r="AP887" s="803">
        <v>41</v>
      </c>
      <c r="AQ887" s="803">
        <v>20</v>
      </c>
      <c r="AR887" s="803">
        <v>26</v>
      </c>
      <c r="AS887" s="803">
        <v>456</v>
      </c>
      <c r="AT887" s="803">
        <v>680</v>
      </c>
      <c r="AU887" s="803">
        <v>5</v>
      </c>
      <c r="AV887" s="803">
        <v>16</v>
      </c>
      <c r="AW887" s="803">
        <v>5560</v>
      </c>
      <c r="AX887" s="803">
        <v>18500</v>
      </c>
      <c r="AY887" s="803">
        <v>284</v>
      </c>
      <c r="AZ887" s="803">
        <v>13900</v>
      </c>
      <c r="BA887" s="803">
        <v>1370</v>
      </c>
      <c r="BB887" s="803">
        <v>4230</v>
      </c>
      <c r="BC887" s="803">
        <v>164</v>
      </c>
      <c r="BD887" s="803">
        <v>6400</v>
      </c>
      <c r="BE887" s="803">
        <v>1.808850664059626</v>
      </c>
      <c r="BF887" s="803">
        <v>620</v>
      </c>
      <c r="BG887" s="803">
        <v>13300</v>
      </c>
      <c r="BH887" s="803">
        <v>132000</v>
      </c>
      <c r="BI887" s="803">
        <v>101000</v>
      </c>
      <c r="BJ887" s="803">
        <v>491</v>
      </c>
      <c r="BK887" s="803">
        <v>2930</v>
      </c>
      <c r="BL887" s="807">
        <v>6920</v>
      </c>
    </row>
    <row r="888" spans="35:64" x14ac:dyDescent="0.3">
      <c r="AI888" s="801" t="s">
        <v>1591</v>
      </c>
      <c r="AJ888" s="802">
        <v>58600</v>
      </c>
      <c r="AK888" s="803">
        <v>600</v>
      </c>
      <c r="AL888" s="803">
        <v>20</v>
      </c>
      <c r="AM888" s="803">
        <v>600</v>
      </c>
      <c r="AN888" s="803">
        <v>40</v>
      </c>
      <c r="AO888" s="803" t="s">
        <v>1592</v>
      </c>
      <c r="AP888" s="803">
        <v>71</v>
      </c>
      <c r="AQ888" s="803">
        <v>40</v>
      </c>
      <c r="AR888" s="803">
        <v>24</v>
      </c>
      <c r="AS888" s="803">
        <v>371</v>
      </c>
      <c r="AT888" s="803">
        <v>551</v>
      </c>
      <c r="AU888" s="803">
        <v>6</v>
      </c>
      <c r="AV888" s="803">
        <v>25</v>
      </c>
      <c r="AW888" s="803">
        <v>4770</v>
      </c>
      <c r="AX888" s="803">
        <v>15900</v>
      </c>
      <c r="AY888" s="803">
        <v>240</v>
      </c>
      <c r="AZ888" s="803">
        <v>22900</v>
      </c>
      <c r="BA888" s="803">
        <v>2170</v>
      </c>
      <c r="BB888" s="803">
        <v>7230</v>
      </c>
      <c r="BC888" s="803">
        <v>147</v>
      </c>
      <c r="BD888" s="803">
        <v>11200</v>
      </c>
      <c r="BE888" s="803">
        <v>1.78215276121788</v>
      </c>
      <c r="BF888" s="803">
        <v>540</v>
      </c>
      <c r="BG888" s="803">
        <v>121000</v>
      </c>
      <c r="BH888" s="803">
        <v>158000</v>
      </c>
      <c r="BI888" s="803">
        <v>81000</v>
      </c>
      <c r="BJ888" s="803">
        <v>729</v>
      </c>
      <c r="BK888" s="803">
        <v>4370</v>
      </c>
      <c r="BL888" s="807">
        <v>11400</v>
      </c>
    </row>
    <row r="889" spans="35:64" x14ac:dyDescent="0.3">
      <c r="AI889" s="801" t="s">
        <v>1593</v>
      </c>
      <c r="AJ889" s="802">
        <v>47000</v>
      </c>
      <c r="AK889" s="803">
        <v>600</v>
      </c>
      <c r="AL889" s="803">
        <v>20</v>
      </c>
      <c r="AM889" s="803">
        <v>600</v>
      </c>
      <c r="AN889" s="803">
        <v>30</v>
      </c>
      <c r="AO889" s="803" t="s">
        <v>1594</v>
      </c>
      <c r="AP889" s="803">
        <v>71</v>
      </c>
      <c r="AQ889" s="803">
        <v>25</v>
      </c>
      <c r="AR889" s="803">
        <v>24</v>
      </c>
      <c r="AS889" s="803">
        <v>309</v>
      </c>
      <c r="AT889" s="803">
        <v>460</v>
      </c>
      <c r="AU889" s="803">
        <v>7.5</v>
      </c>
      <c r="AV889" s="803">
        <v>26</v>
      </c>
      <c r="AW889" s="803">
        <v>4020</v>
      </c>
      <c r="AX889" s="803">
        <v>13400</v>
      </c>
      <c r="AY889" s="803">
        <v>253</v>
      </c>
      <c r="AZ889" s="803">
        <v>21200</v>
      </c>
      <c r="BA889" s="803">
        <v>2160</v>
      </c>
      <c r="BB889" s="803">
        <v>7200</v>
      </c>
      <c r="BC889" s="803">
        <v>158</v>
      </c>
      <c r="BD889" s="803">
        <v>10900</v>
      </c>
      <c r="BE889" s="803">
        <v>1.8228054303879879</v>
      </c>
      <c r="BF889" s="803">
        <v>540</v>
      </c>
      <c r="BG889" s="803">
        <v>90700</v>
      </c>
      <c r="BH889" s="803">
        <v>158000</v>
      </c>
      <c r="BI889" s="803">
        <v>81000</v>
      </c>
      <c r="BJ889" s="803">
        <v>729</v>
      </c>
      <c r="BK889" s="803">
        <v>4620</v>
      </c>
      <c r="BL889" s="807">
        <v>10600</v>
      </c>
    </row>
    <row r="890" spans="35:64" x14ac:dyDescent="0.3">
      <c r="AI890" s="801" t="s">
        <v>1595</v>
      </c>
      <c r="AJ890" s="802">
        <v>92000</v>
      </c>
      <c r="AK890" s="803">
        <v>550</v>
      </c>
      <c r="AL890" s="803">
        <v>60</v>
      </c>
      <c r="AM890" s="803">
        <v>550</v>
      </c>
      <c r="AN890" s="803">
        <v>60</v>
      </c>
      <c r="AO890" s="803" t="s">
        <v>1596</v>
      </c>
      <c r="AP890" s="803">
        <v>61</v>
      </c>
      <c r="AQ890" s="803">
        <v>20</v>
      </c>
      <c r="AR890" s="803">
        <v>24</v>
      </c>
      <c r="AS890" s="803">
        <v>248</v>
      </c>
      <c r="AT890" s="803">
        <v>369</v>
      </c>
      <c r="AU890" s="803">
        <v>10</v>
      </c>
      <c r="AV890" s="803">
        <v>27</v>
      </c>
      <c r="AW890" s="803">
        <v>3200</v>
      </c>
      <c r="AX890" s="803">
        <v>10700</v>
      </c>
      <c r="AY890" s="803">
        <v>261</v>
      </c>
      <c r="AZ890" s="803">
        <v>17800</v>
      </c>
      <c r="BA890" s="803">
        <v>1800</v>
      </c>
      <c r="BB890" s="803">
        <v>6000</v>
      </c>
      <c r="BC890" s="803">
        <v>160</v>
      </c>
      <c r="BD890" s="803">
        <v>9050</v>
      </c>
      <c r="BE890" s="803">
        <v>1.8111051430261229</v>
      </c>
      <c r="BF890" s="803">
        <v>550</v>
      </c>
      <c r="BG890" s="803">
        <v>51300</v>
      </c>
      <c r="BH890" s="803">
        <v>136000</v>
      </c>
      <c r="BI890" s="803">
        <v>82500</v>
      </c>
      <c r="BJ890" s="803">
        <v>619</v>
      </c>
      <c r="BK890" s="803">
        <v>3990</v>
      </c>
      <c r="BL890" s="807">
        <v>8880</v>
      </c>
    </row>
    <row r="891" spans="35:64" x14ac:dyDescent="0.3">
      <c r="AI891" s="801" t="s">
        <v>1597</v>
      </c>
      <c r="AJ891" s="802">
        <v>79100</v>
      </c>
      <c r="AK891" s="803">
        <v>550</v>
      </c>
      <c r="AL891" s="803">
        <v>30</v>
      </c>
      <c r="AM891" s="803">
        <v>550</v>
      </c>
      <c r="AN891" s="803">
        <v>60</v>
      </c>
      <c r="AO891" s="803" t="s">
        <v>1598</v>
      </c>
      <c r="AP891" s="803">
        <v>51</v>
      </c>
      <c r="AQ891" s="803">
        <v>20</v>
      </c>
      <c r="AR891" s="803">
        <v>24</v>
      </c>
      <c r="AS891" s="803">
        <v>484</v>
      </c>
      <c r="AT891" s="803">
        <v>721</v>
      </c>
      <c r="AU891" s="803">
        <v>4.58</v>
      </c>
      <c r="AV891" s="803">
        <v>7.17</v>
      </c>
      <c r="AW891" s="803">
        <v>4390</v>
      </c>
      <c r="AX891" s="803">
        <v>16000</v>
      </c>
      <c r="AY891" s="803">
        <v>262</v>
      </c>
      <c r="AZ891" s="803">
        <v>14800</v>
      </c>
      <c r="BA891" s="803">
        <v>1440</v>
      </c>
      <c r="BB891" s="803">
        <v>4800</v>
      </c>
      <c r="BC891" s="803">
        <v>157</v>
      </c>
      <c r="BD891" s="803">
        <v>7250</v>
      </c>
      <c r="BE891" s="803">
        <v>1.781341588395571</v>
      </c>
      <c r="BF891" s="803">
        <v>560</v>
      </c>
      <c r="BG891" s="803">
        <v>27000</v>
      </c>
      <c r="BH891" s="803">
        <v>113000</v>
      </c>
      <c r="BI891" s="803">
        <v>84000</v>
      </c>
      <c r="BJ891" s="803">
        <v>504</v>
      </c>
      <c r="BK891" s="803">
        <v>3250</v>
      </c>
      <c r="BL891" s="807">
        <v>7400</v>
      </c>
    </row>
    <row r="892" spans="35:64" x14ac:dyDescent="0.3">
      <c r="AI892" s="801" t="s">
        <v>1599</v>
      </c>
      <c r="AJ892" s="802">
        <v>64200</v>
      </c>
      <c r="AK892" s="803">
        <v>550</v>
      </c>
      <c r="AL892" s="803">
        <v>20</v>
      </c>
      <c r="AM892" s="803">
        <v>550</v>
      </c>
      <c r="AN892" s="803">
        <v>50</v>
      </c>
      <c r="AO892" s="803" t="s">
        <v>1600</v>
      </c>
      <c r="AP892" s="803">
        <v>41</v>
      </c>
      <c r="AQ892" s="803">
        <v>20</v>
      </c>
      <c r="AR892" s="803">
        <v>24</v>
      </c>
      <c r="AS892" s="803">
        <v>416</v>
      </c>
      <c r="AT892" s="803">
        <v>620</v>
      </c>
      <c r="AU892" s="803">
        <v>4.58</v>
      </c>
      <c r="AV892" s="803">
        <v>14.3</v>
      </c>
      <c r="AW892" s="803">
        <v>4190</v>
      </c>
      <c r="AX892" s="803">
        <v>15200</v>
      </c>
      <c r="AY892" s="803">
        <v>261</v>
      </c>
      <c r="AZ892" s="803">
        <v>11800</v>
      </c>
      <c r="BA892" s="803">
        <v>1080</v>
      </c>
      <c r="BB892" s="803">
        <v>3600</v>
      </c>
      <c r="BC892" s="803">
        <v>152</v>
      </c>
      <c r="BD892" s="803">
        <v>5460</v>
      </c>
      <c r="BE892" s="803">
        <v>1.744434144443479</v>
      </c>
      <c r="BF892" s="803">
        <v>570</v>
      </c>
      <c r="BG892" s="803">
        <v>12200</v>
      </c>
      <c r="BH892" s="803">
        <v>87800</v>
      </c>
      <c r="BI892" s="803">
        <v>85500</v>
      </c>
      <c r="BJ892" s="803">
        <v>385</v>
      </c>
      <c r="BK892" s="803">
        <v>2480</v>
      </c>
      <c r="BL892" s="807">
        <v>5860</v>
      </c>
    </row>
    <row r="893" spans="35:64" x14ac:dyDescent="0.3">
      <c r="AI893" s="801" t="s">
        <v>1601</v>
      </c>
      <c r="AJ893" s="802">
        <v>53600</v>
      </c>
      <c r="AK893" s="803">
        <v>550</v>
      </c>
      <c r="AL893" s="803">
        <v>20</v>
      </c>
      <c r="AM893" s="803">
        <v>550</v>
      </c>
      <c r="AN893" s="803">
        <v>40</v>
      </c>
      <c r="AO893" s="803" t="s">
        <v>1602</v>
      </c>
      <c r="AP893" s="803">
        <v>71</v>
      </c>
      <c r="AQ893" s="803">
        <v>40</v>
      </c>
      <c r="AR893" s="803">
        <v>22</v>
      </c>
      <c r="AS893" s="803">
        <v>338</v>
      </c>
      <c r="AT893" s="803">
        <v>503</v>
      </c>
      <c r="AU893" s="803">
        <v>5.5</v>
      </c>
      <c r="AV893" s="803">
        <v>22.5</v>
      </c>
      <c r="AW893" s="803">
        <v>3610</v>
      </c>
      <c r="AX893" s="803">
        <v>13100</v>
      </c>
      <c r="AY893" s="803">
        <v>218</v>
      </c>
      <c r="AZ893" s="803">
        <v>19000</v>
      </c>
      <c r="BA893" s="803">
        <v>1670</v>
      </c>
      <c r="BB893" s="803">
        <v>6080</v>
      </c>
      <c r="BC893" s="803">
        <v>135</v>
      </c>
      <c r="BD893" s="803">
        <v>9470</v>
      </c>
      <c r="BE893" s="803">
        <v>1.7157217534182629</v>
      </c>
      <c r="BF893" s="803">
        <v>490</v>
      </c>
      <c r="BG893" s="803">
        <v>110000</v>
      </c>
      <c r="BH893" s="803">
        <v>100000</v>
      </c>
      <c r="BI893" s="803">
        <v>67400</v>
      </c>
      <c r="BJ893" s="803">
        <v>556</v>
      </c>
      <c r="BK893" s="803">
        <v>3600</v>
      </c>
      <c r="BL893" s="807">
        <v>9470</v>
      </c>
    </row>
    <row r="894" spans="35:64" x14ac:dyDescent="0.3">
      <c r="AI894" s="801" t="s">
        <v>1603</v>
      </c>
      <c r="AJ894" s="802">
        <v>35600</v>
      </c>
      <c r="AK894" s="803">
        <v>550</v>
      </c>
      <c r="AL894" s="803">
        <v>16</v>
      </c>
      <c r="AM894" s="803">
        <v>550</v>
      </c>
      <c r="AN894" s="803">
        <v>25</v>
      </c>
      <c r="AO894" s="803" t="s">
        <v>1604</v>
      </c>
      <c r="AP894" s="803">
        <v>71</v>
      </c>
      <c r="AQ894" s="803">
        <v>25</v>
      </c>
      <c r="AR894" s="803">
        <v>22</v>
      </c>
      <c r="AS894" s="803">
        <v>282</v>
      </c>
      <c r="AT894" s="803">
        <v>420</v>
      </c>
      <c r="AU894" s="803">
        <v>6.88</v>
      </c>
      <c r="AV894" s="803">
        <v>23.5</v>
      </c>
      <c r="AW894" s="803">
        <v>3050</v>
      </c>
      <c r="AX894" s="803">
        <v>11100</v>
      </c>
      <c r="AY894" s="803">
        <v>230</v>
      </c>
      <c r="AZ894" s="803">
        <v>17600</v>
      </c>
      <c r="BA894" s="803">
        <v>1660</v>
      </c>
      <c r="BB894" s="803">
        <v>6050</v>
      </c>
      <c r="BC894" s="803">
        <v>145</v>
      </c>
      <c r="BD894" s="803">
        <v>9180</v>
      </c>
      <c r="BE894" s="803">
        <v>1.7531189435066921</v>
      </c>
      <c r="BF894" s="803">
        <v>490</v>
      </c>
      <c r="BG894" s="803">
        <v>83100</v>
      </c>
      <c r="BH894" s="803">
        <v>99900</v>
      </c>
      <c r="BI894" s="803">
        <v>67400</v>
      </c>
      <c r="BJ894" s="803">
        <v>556</v>
      </c>
      <c r="BK894" s="803">
        <v>3820</v>
      </c>
      <c r="BL894" s="807">
        <v>8780</v>
      </c>
    </row>
    <row r="895" spans="35:64" x14ac:dyDescent="0.3">
      <c r="AI895" s="801" t="s">
        <v>1605</v>
      </c>
      <c r="AJ895" s="802">
        <v>83000</v>
      </c>
      <c r="AK895" s="803">
        <v>500</v>
      </c>
      <c r="AL895" s="803">
        <v>60</v>
      </c>
      <c r="AM895" s="803">
        <v>500</v>
      </c>
      <c r="AN895" s="803">
        <v>60</v>
      </c>
      <c r="AO895" s="803" t="s">
        <v>1606</v>
      </c>
      <c r="AP895" s="803">
        <v>61</v>
      </c>
      <c r="AQ895" s="803">
        <v>20</v>
      </c>
      <c r="AR895" s="803">
        <v>22</v>
      </c>
      <c r="AS895" s="803">
        <v>188</v>
      </c>
      <c r="AT895" s="803">
        <v>280</v>
      </c>
      <c r="AU895" s="803">
        <v>11</v>
      </c>
      <c r="AV895" s="803">
        <v>31.3</v>
      </c>
      <c r="AW895" s="803">
        <v>2070</v>
      </c>
      <c r="AX895" s="803">
        <v>7530</v>
      </c>
      <c r="AY895" s="803">
        <v>237</v>
      </c>
      <c r="AZ895" s="803">
        <v>14800</v>
      </c>
      <c r="BA895" s="803">
        <v>1390</v>
      </c>
      <c r="BB895" s="803">
        <v>5040</v>
      </c>
      <c r="BC895" s="803">
        <v>147</v>
      </c>
      <c r="BD895" s="803">
        <v>7610</v>
      </c>
      <c r="BE895" s="803">
        <v>1.743832925954774</v>
      </c>
      <c r="BF895" s="803">
        <v>500</v>
      </c>
      <c r="BG895" s="803">
        <v>47000</v>
      </c>
      <c r="BH895" s="803">
        <v>86700</v>
      </c>
      <c r="BI895" s="803">
        <v>68800</v>
      </c>
      <c r="BJ895" s="803">
        <v>473</v>
      </c>
      <c r="BK895" s="803">
        <v>3310</v>
      </c>
      <c r="BL895" s="807">
        <v>7380</v>
      </c>
    </row>
    <row r="896" spans="35:64" x14ac:dyDescent="0.3">
      <c r="AI896" s="801" t="s">
        <v>1607</v>
      </c>
      <c r="AJ896" s="802">
        <v>71600</v>
      </c>
      <c r="AK896" s="803">
        <v>500</v>
      </c>
      <c r="AL896" s="803">
        <v>30</v>
      </c>
      <c r="AM896" s="803">
        <v>500</v>
      </c>
      <c r="AN896" s="803">
        <v>60</v>
      </c>
      <c r="AO896" s="803" t="s">
        <v>1608</v>
      </c>
      <c r="AP896" s="803">
        <v>51</v>
      </c>
      <c r="AQ896" s="803">
        <v>20</v>
      </c>
      <c r="AR896" s="803">
        <v>22</v>
      </c>
      <c r="AS896" s="803">
        <v>437</v>
      </c>
      <c r="AT896" s="803">
        <v>651</v>
      </c>
      <c r="AU896" s="803">
        <v>4.17</v>
      </c>
      <c r="AV896" s="803">
        <v>6.33</v>
      </c>
      <c r="AW896" s="803">
        <v>3200</v>
      </c>
      <c r="AX896" s="803">
        <v>12800</v>
      </c>
      <c r="AY896" s="803">
        <v>239</v>
      </c>
      <c r="AZ896" s="803">
        <v>12400</v>
      </c>
      <c r="BA896" s="803">
        <v>1110</v>
      </c>
      <c r="BB896" s="803">
        <v>4030</v>
      </c>
      <c r="BC896" s="803">
        <v>144</v>
      </c>
      <c r="BD896" s="803">
        <v>6100</v>
      </c>
      <c r="BE896" s="803">
        <v>1.712634313970248</v>
      </c>
      <c r="BF896" s="803">
        <v>510</v>
      </c>
      <c r="BG896" s="803">
        <v>24700</v>
      </c>
      <c r="BH896" s="803">
        <v>72100</v>
      </c>
      <c r="BI896" s="803">
        <v>70100</v>
      </c>
      <c r="BJ896" s="803">
        <v>386</v>
      </c>
      <c r="BK896" s="803">
        <v>2700</v>
      </c>
      <c r="BL896" s="807">
        <v>6160</v>
      </c>
    </row>
    <row r="897" spans="35:64" x14ac:dyDescent="0.3">
      <c r="AI897" s="801" t="s">
        <v>1609</v>
      </c>
      <c r="AJ897" s="802">
        <v>58200</v>
      </c>
      <c r="AK897" s="803">
        <v>500</v>
      </c>
      <c r="AL897" s="803">
        <v>20</v>
      </c>
      <c r="AM897" s="803">
        <v>500</v>
      </c>
      <c r="AN897" s="803">
        <v>50</v>
      </c>
      <c r="AO897" s="803" t="s">
        <v>1610</v>
      </c>
      <c r="AP897" s="803">
        <v>34</v>
      </c>
      <c r="AQ897" s="803">
        <v>16</v>
      </c>
      <c r="AR897" s="803">
        <v>22</v>
      </c>
      <c r="AS897" s="803">
        <v>377</v>
      </c>
      <c r="AT897" s="803">
        <v>561</v>
      </c>
      <c r="AU897" s="803">
        <v>4.17</v>
      </c>
      <c r="AV897" s="803">
        <v>12.7</v>
      </c>
      <c r="AW897" s="803">
        <v>3070</v>
      </c>
      <c r="AX897" s="803">
        <v>12300</v>
      </c>
      <c r="AY897" s="803">
        <v>241</v>
      </c>
      <c r="AZ897" s="803">
        <v>8250</v>
      </c>
      <c r="BA897" s="803">
        <v>693</v>
      </c>
      <c r="BB897" s="803">
        <v>2520</v>
      </c>
      <c r="BC897" s="803">
        <v>140</v>
      </c>
      <c r="BD897" s="803">
        <v>3810</v>
      </c>
      <c r="BE897" s="803">
        <v>1.6674587923820969</v>
      </c>
      <c r="BF897" s="803">
        <v>525</v>
      </c>
      <c r="BG897" s="803">
        <v>6410</v>
      </c>
      <c r="BH897" s="803">
        <v>47800</v>
      </c>
      <c r="BI897" s="803">
        <v>72200</v>
      </c>
      <c r="BJ897" s="803">
        <v>248</v>
      </c>
      <c r="BK897" s="803">
        <v>1750</v>
      </c>
      <c r="BL897" s="807">
        <v>4110</v>
      </c>
    </row>
    <row r="898" spans="35:64" x14ac:dyDescent="0.3">
      <c r="AI898" s="801" t="s">
        <v>1611</v>
      </c>
      <c r="AJ898" s="802">
        <v>48600</v>
      </c>
      <c r="AK898" s="803">
        <v>500</v>
      </c>
      <c r="AL898" s="803">
        <v>20</v>
      </c>
      <c r="AM898" s="803">
        <v>500</v>
      </c>
      <c r="AN898" s="803">
        <v>40</v>
      </c>
      <c r="AO898" s="803" t="s">
        <v>1612</v>
      </c>
      <c r="AP898" s="803">
        <v>71</v>
      </c>
      <c r="AQ898" s="803">
        <v>40</v>
      </c>
      <c r="AR898" s="803">
        <v>20</v>
      </c>
      <c r="AS898" s="803">
        <v>306</v>
      </c>
      <c r="AT898" s="803">
        <v>456</v>
      </c>
      <c r="AU898" s="803">
        <v>5</v>
      </c>
      <c r="AV898" s="803">
        <v>20</v>
      </c>
      <c r="AW898" s="803">
        <v>2660</v>
      </c>
      <c r="AX898" s="803">
        <v>10600</v>
      </c>
      <c r="AY898" s="803">
        <v>196</v>
      </c>
      <c r="AZ898" s="803">
        <v>15400</v>
      </c>
      <c r="BA898" s="803">
        <v>1260</v>
      </c>
      <c r="BB898" s="803">
        <v>5030</v>
      </c>
      <c r="BC898" s="803">
        <v>123</v>
      </c>
      <c r="BD898" s="803">
        <v>7850</v>
      </c>
      <c r="BE898" s="803">
        <v>1.653840191590944</v>
      </c>
      <c r="BF898" s="803">
        <v>440</v>
      </c>
      <c r="BG898" s="803">
        <v>99400</v>
      </c>
      <c r="BH898" s="803">
        <v>60800</v>
      </c>
      <c r="BI898" s="803">
        <v>55000</v>
      </c>
      <c r="BJ898" s="803">
        <v>413</v>
      </c>
      <c r="BK898" s="803">
        <v>2900</v>
      </c>
      <c r="BL898" s="807">
        <v>7680</v>
      </c>
    </row>
    <row r="899" spans="35:64" x14ac:dyDescent="0.3">
      <c r="AI899" s="801" t="s">
        <v>1613</v>
      </c>
      <c r="AJ899" s="802">
        <v>43800</v>
      </c>
      <c r="AK899" s="803">
        <v>500</v>
      </c>
      <c r="AL899" s="803">
        <v>20</v>
      </c>
      <c r="AM899" s="803">
        <v>500</v>
      </c>
      <c r="AN899" s="803">
        <v>35</v>
      </c>
      <c r="AO899" s="803" t="s">
        <v>1614</v>
      </c>
      <c r="AP899" s="803">
        <v>71</v>
      </c>
      <c r="AQ899" s="803">
        <v>25</v>
      </c>
      <c r="AR899" s="803">
        <v>20</v>
      </c>
      <c r="AS899" s="803">
        <v>256</v>
      </c>
      <c r="AT899" s="803">
        <v>381</v>
      </c>
      <c r="AU899" s="803">
        <v>6.25</v>
      </c>
      <c r="AV899" s="803">
        <v>21</v>
      </c>
      <c r="AW899" s="803">
        <v>2250</v>
      </c>
      <c r="AX899" s="803">
        <v>9010</v>
      </c>
      <c r="AY899" s="803">
        <v>207</v>
      </c>
      <c r="AZ899" s="803">
        <v>14300</v>
      </c>
      <c r="BA899" s="803">
        <v>1250</v>
      </c>
      <c r="BB899" s="803">
        <v>5000</v>
      </c>
      <c r="BC899" s="803">
        <v>132</v>
      </c>
      <c r="BD899" s="803">
        <v>7590</v>
      </c>
      <c r="BE899" s="803">
        <v>1.683050546431877</v>
      </c>
      <c r="BF899" s="803">
        <v>440</v>
      </c>
      <c r="BG899" s="803">
        <v>75400</v>
      </c>
      <c r="BH899" s="803">
        <v>60500</v>
      </c>
      <c r="BI899" s="803">
        <v>55000</v>
      </c>
      <c r="BJ899" s="803">
        <v>413</v>
      </c>
      <c r="BK899" s="803">
        <v>3100</v>
      </c>
      <c r="BL899" s="807">
        <v>7140</v>
      </c>
    </row>
    <row r="900" spans="35:64" x14ac:dyDescent="0.3">
      <c r="AI900" s="801" t="s">
        <v>1615</v>
      </c>
      <c r="AJ900" s="802">
        <v>39000</v>
      </c>
      <c r="AK900" s="803">
        <v>500</v>
      </c>
      <c r="AL900" s="803">
        <v>20</v>
      </c>
      <c r="AM900" s="803">
        <v>500</v>
      </c>
      <c r="AN900" s="803">
        <v>30</v>
      </c>
      <c r="AO900" s="803" t="s">
        <v>1616</v>
      </c>
      <c r="AP900" s="803">
        <v>61</v>
      </c>
      <c r="AQ900" s="803">
        <v>20</v>
      </c>
      <c r="AR900" s="803">
        <v>20</v>
      </c>
      <c r="AS900" s="803">
        <v>230</v>
      </c>
      <c r="AT900" s="803">
        <v>343</v>
      </c>
      <c r="AU900" s="803">
        <v>7.14</v>
      </c>
      <c r="AV900" s="803">
        <v>21.5</v>
      </c>
      <c r="AW900" s="803">
        <v>2040</v>
      </c>
      <c r="AX900" s="803">
        <v>8140</v>
      </c>
      <c r="AY900" s="803">
        <v>214</v>
      </c>
      <c r="AZ900" s="803">
        <v>12100</v>
      </c>
      <c r="BA900" s="803">
        <v>1040</v>
      </c>
      <c r="BB900" s="803">
        <v>4170</v>
      </c>
      <c r="BC900" s="803">
        <v>134</v>
      </c>
      <c r="BD900" s="803">
        <v>6290</v>
      </c>
      <c r="BE900" s="803">
        <v>1.668284713268396</v>
      </c>
      <c r="BF900" s="803">
        <v>450</v>
      </c>
      <c r="BG900" s="803">
        <v>42700</v>
      </c>
      <c r="BH900" s="803">
        <v>52700</v>
      </c>
      <c r="BI900" s="803">
        <v>56300</v>
      </c>
      <c r="BJ900" s="803">
        <v>352</v>
      </c>
      <c r="BK900" s="803">
        <v>2700</v>
      </c>
      <c r="BL900" s="807">
        <v>6030</v>
      </c>
    </row>
    <row r="901" spans="35:64" x14ac:dyDescent="0.3">
      <c r="AI901" s="801" t="s">
        <v>1617</v>
      </c>
      <c r="AJ901" s="802">
        <v>35200</v>
      </c>
      <c r="AK901" s="803">
        <v>500</v>
      </c>
      <c r="AL901" s="803">
        <v>16</v>
      </c>
      <c r="AM901" s="803">
        <v>500</v>
      </c>
      <c r="AN901" s="803">
        <v>28</v>
      </c>
      <c r="AO901" s="803" t="s">
        <v>1618</v>
      </c>
      <c r="AP901" s="803">
        <v>51</v>
      </c>
      <c r="AQ901" s="803">
        <v>20</v>
      </c>
      <c r="AR901" s="803">
        <v>20</v>
      </c>
      <c r="AS901" s="803">
        <v>205</v>
      </c>
      <c r="AT901" s="803">
        <v>306</v>
      </c>
      <c r="AU901" s="803">
        <v>8.33</v>
      </c>
      <c r="AV901" s="803">
        <v>22</v>
      </c>
      <c r="AW901" s="803">
        <v>1810</v>
      </c>
      <c r="AX901" s="803">
        <v>7240</v>
      </c>
      <c r="AY901" s="803">
        <v>215</v>
      </c>
      <c r="AZ901" s="803">
        <v>10100</v>
      </c>
      <c r="BA901" s="803">
        <v>834</v>
      </c>
      <c r="BB901" s="803">
        <v>3330</v>
      </c>
      <c r="BC901" s="803">
        <v>131</v>
      </c>
      <c r="BD901" s="803">
        <v>5040</v>
      </c>
      <c r="BE901" s="803">
        <v>1.6417608721317529</v>
      </c>
      <c r="BF901" s="803">
        <v>460</v>
      </c>
      <c r="BG901" s="803">
        <v>22500</v>
      </c>
      <c r="BH901" s="803">
        <v>44100</v>
      </c>
      <c r="BI901" s="803">
        <v>57500</v>
      </c>
      <c r="BJ901" s="803">
        <v>288</v>
      </c>
      <c r="BK901" s="803">
        <v>2210</v>
      </c>
      <c r="BL901" s="807">
        <v>5040</v>
      </c>
    </row>
    <row r="902" spans="35:64" x14ac:dyDescent="0.3">
      <c r="AI902" s="801" t="s">
        <v>1619</v>
      </c>
      <c r="AJ902" s="802">
        <v>32300</v>
      </c>
      <c r="AK902" s="803">
        <v>500</v>
      </c>
      <c r="AL902" s="803">
        <v>16</v>
      </c>
      <c r="AM902" s="803">
        <v>500</v>
      </c>
      <c r="AN902" s="803">
        <v>25</v>
      </c>
      <c r="AO902" s="803" t="s">
        <v>1620</v>
      </c>
      <c r="AP902" s="803">
        <v>46</v>
      </c>
      <c r="AQ902" s="803">
        <v>20</v>
      </c>
      <c r="AR902" s="803">
        <v>20</v>
      </c>
      <c r="AS902" s="803">
        <v>185</v>
      </c>
      <c r="AT902" s="803">
        <v>276</v>
      </c>
      <c r="AU902" s="803">
        <v>8.93</v>
      </c>
      <c r="AV902" s="803">
        <v>27.8</v>
      </c>
      <c r="AW902" s="803">
        <v>1680</v>
      </c>
      <c r="AX902" s="803">
        <v>6740</v>
      </c>
      <c r="AY902" s="803">
        <v>216</v>
      </c>
      <c r="AZ902" s="803">
        <v>9100</v>
      </c>
      <c r="BA902" s="803">
        <v>729</v>
      </c>
      <c r="BB902" s="803">
        <v>2920</v>
      </c>
      <c r="BC902" s="803">
        <v>129</v>
      </c>
      <c r="BD902" s="803">
        <v>4420</v>
      </c>
      <c r="BE902" s="803">
        <v>1.6208426420135009</v>
      </c>
      <c r="BF902" s="803">
        <v>465</v>
      </c>
      <c r="BG902" s="803">
        <v>15400</v>
      </c>
      <c r="BH902" s="803">
        <v>39400</v>
      </c>
      <c r="BI902" s="803">
        <v>58100</v>
      </c>
      <c r="BJ902" s="803">
        <v>254</v>
      </c>
      <c r="BK902" s="803">
        <v>1950</v>
      </c>
      <c r="BL902" s="807">
        <v>4530</v>
      </c>
    </row>
    <row r="903" spans="35:64" x14ac:dyDescent="0.3">
      <c r="AI903" s="801" t="s">
        <v>1621</v>
      </c>
      <c r="AJ903" s="802">
        <v>28500</v>
      </c>
      <c r="AK903" s="803">
        <v>500</v>
      </c>
      <c r="AL903" s="803">
        <v>14</v>
      </c>
      <c r="AM903" s="803">
        <v>500</v>
      </c>
      <c r="AN903" s="803">
        <v>22</v>
      </c>
      <c r="AO903" s="803" t="s">
        <v>1622</v>
      </c>
      <c r="AP903" s="803">
        <v>41</v>
      </c>
      <c r="AQ903" s="803">
        <v>20</v>
      </c>
      <c r="AR903" s="803">
        <v>20</v>
      </c>
      <c r="AS903" s="803">
        <v>170</v>
      </c>
      <c r="AT903" s="803">
        <v>254</v>
      </c>
      <c r="AU903" s="803">
        <v>10</v>
      </c>
      <c r="AV903" s="803">
        <v>28.1</v>
      </c>
      <c r="AW903" s="803">
        <v>1540</v>
      </c>
      <c r="AX903" s="803">
        <v>6160</v>
      </c>
      <c r="AY903" s="803">
        <v>215</v>
      </c>
      <c r="AZ903" s="803">
        <v>8060</v>
      </c>
      <c r="BA903" s="803">
        <v>625</v>
      </c>
      <c r="BB903" s="803">
        <v>2500</v>
      </c>
      <c r="BC903" s="803">
        <v>127</v>
      </c>
      <c r="BD903" s="803">
        <v>3800</v>
      </c>
      <c r="BE903" s="803">
        <v>1.601715914357098</v>
      </c>
      <c r="BF903" s="803">
        <v>470</v>
      </c>
      <c r="BG903" s="803">
        <v>10200</v>
      </c>
      <c r="BH903" s="803">
        <v>34500</v>
      </c>
      <c r="BI903" s="803">
        <v>58800</v>
      </c>
      <c r="BJ903" s="803">
        <v>220</v>
      </c>
      <c r="BK903" s="803">
        <v>1690</v>
      </c>
      <c r="BL903" s="807">
        <v>4010</v>
      </c>
    </row>
    <row r="904" spans="35:64" x14ac:dyDescent="0.3">
      <c r="AI904" s="801" t="s">
        <v>1623</v>
      </c>
      <c r="AJ904" s="802">
        <v>25200</v>
      </c>
      <c r="AK904" s="803">
        <v>500</v>
      </c>
      <c r="AL904" s="803">
        <v>11</v>
      </c>
      <c r="AM904" s="803">
        <v>500</v>
      </c>
      <c r="AN904" s="803">
        <v>20</v>
      </c>
      <c r="AO904" s="803" t="s">
        <v>1624</v>
      </c>
      <c r="AP904" s="803">
        <v>37</v>
      </c>
      <c r="AQ904" s="803">
        <v>16</v>
      </c>
      <c r="AR904" s="803">
        <v>20</v>
      </c>
      <c r="AS904" s="803">
        <v>150</v>
      </c>
      <c r="AT904" s="803">
        <v>223</v>
      </c>
      <c r="AU904" s="803">
        <v>11.4</v>
      </c>
      <c r="AV904" s="803">
        <v>32.6</v>
      </c>
      <c r="AW904" s="803">
        <v>1370</v>
      </c>
      <c r="AX904" s="803">
        <v>5500</v>
      </c>
      <c r="AY904" s="803">
        <v>219</v>
      </c>
      <c r="AZ904" s="803">
        <v>7420</v>
      </c>
      <c r="BA904" s="803">
        <v>583</v>
      </c>
      <c r="BB904" s="803">
        <v>2330</v>
      </c>
      <c r="BC904" s="803">
        <v>129</v>
      </c>
      <c r="BD904" s="803">
        <v>3530</v>
      </c>
      <c r="BE904" s="803">
        <v>1.6096569833357079</v>
      </c>
      <c r="BF904" s="803">
        <v>472</v>
      </c>
      <c r="BG904" s="803">
        <v>7920</v>
      </c>
      <c r="BH904" s="803">
        <v>32500</v>
      </c>
      <c r="BI904" s="803">
        <v>59000</v>
      </c>
      <c r="BJ904" s="803">
        <v>207</v>
      </c>
      <c r="BK904" s="803">
        <v>1600</v>
      </c>
      <c r="BL904" s="807">
        <v>3700</v>
      </c>
    </row>
    <row r="905" spans="35:64" x14ac:dyDescent="0.3">
      <c r="AI905" s="801" t="s">
        <v>1625</v>
      </c>
      <c r="AJ905" s="802">
        <v>64100</v>
      </c>
      <c r="AK905" s="803">
        <v>450</v>
      </c>
      <c r="AL905" s="803">
        <v>30</v>
      </c>
      <c r="AM905" s="803">
        <v>450</v>
      </c>
      <c r="AN905" s="803">
        <v>60</v>
      </c>
      <c r="AO905" s="803" t="s">
        <v>1626</v>
      </c>
      <c r="AP905" s="803">
        <v>34</v>
      </c>
      <c r="AQ905" s="803">
        <v>16</v>
      </c>
      <c r="AR905" s="803">
        <v>20</v>
      </c>
      <c r="AS905" s="803">
        <v>132</v>
      </c>
      <c r="AT905" s="803">
        <v>197</v>
      </c>
      <c r="AU905" s="803">
        <v>12.5</v>
      </c>
      <c r="AV905" s="803">
        <v>41.8</v>
      </c>
      <c r="AW905" s="803">
        <v>1250</v>
      </c>
      <c r="AX905" s="803">
        <v>4990</v>
      </c>
      <c r="AY905" s="803">
        <v>218</v>
      </c>
      <c r="AZ905" s="803">
        <v>6780</v>
      </c>
      <c r="BA905" s="803">
        <v>521</v>
      </c>
      <c r="BB905" s="803">
        <v>2080</v>
      </c>
      <c r="BC905" s="803">
        <v>127</v>
      </c>
      <c r="BD905" s="803">
        <v>3160</v>
      </c>
      <c r="BE905" s="803">
        <v>1.5941746652618121</v>
      </c>
      <c r="BF905" s="803">
        <v>475</v>
      </c>
      <c r="BG905" s="803">
        <v>5820</v>
      </c>
      <c r="BH905" s="803">
        <v>29400</v>
      </c>
      <c r="BI905" s="803">
        <v>59400</v>
      </c>
      <c r="BJ905" s="803">
        <v>186</v>
      </c>
      <c r="BK905" s="803">
        <v>1440</v>
      </c>
      <c r="BL905" s="807">
        <v>3370</v>
      </c>
    </row>
    <row r="906" spans="35:64" x14ac:dyDescent="0.3">
      <c r="AI906" s="801" t="s">
        <v>1627</v>
      </c>
      <c r="AJ906" s="802">
        <v>52200</v>
      </c>
      <c r="AK906" s="803">
        <v>450</v>
      </c>
      <c r="AL906" s="803">
        <v>20</v>
      </c>
      <c r="AM906" s="803">
        <v>450</v>
      </c>
      <c r="AN906" s="803">
        <v>50</v>
      </c>
      <c r="AO906" s="803" t="s">
        <v>1628</v>
      </c>
      <c r="AP906" s="803">
        <v>31</v>
      </c>
      <c r="AQ906" s="803">
        <v>15</v>
      </c>
      <c r="AR906" s="803">
        <v>20</v>
      </c>
      <c r="AS906" s="803">
        <v>337</v>
      </c>
      <c r="AT906" s="803">
        <v>503</v>
      </c>
      <c r="AU906" s="803">
        <v>3.75</v>
      </c>
      <c r="AV906" s="803">
        <v>11</v>
      </c>
      <c r="AW906" s="803">
        <v>2160</v>
      </c>
      <c r="AX906" s="803">
        <v>9620</v>
      </c>
      <c r="AY906" s="803">
        <v>220</v>
      </c>
      <c r="AZ906" s="803">
        <v>6010</v>
      </c>
      <c r="BA906" s="803">
        <v>458</v>
      </c>
      <c r="BB906" s="803">
        <v>1830</v>
      </c>
      <c r="BC906" s="803">
        <v>127</v>
      </c>
      <c r="BD906" s="803">
        <v>2770</v>
      </c>
      <c r="BE906" s="803">
        <v>1.5901255240425081</v>
      </c>
      <c r="BF906" s="803">
        <v>478</v>
      </c>
      <c r="BG906" s="803">
        <v>3970</v>
      </c>
      <c r="BH906" s="803">
        <v>26200</v>
      </c>
      <c r="BI906" s="803">
        <v>59800</v>
      </c>
      <c r="BJ906" s="803">
        <v>164</v>
      </c>
      <c r="BK906" s="803">
        <v>1280</v>
      </c>
      <c r="BL906" s="807">
        <v>2990</v>
      </c>
    </row>
    <row r="907" spans="35:64" x14ac:dyDescent="0.3">
      <c r="AI907" s="801" t="s">
        <v>1629</v>
      </c>
      <c r="AJ907" s="802">
        <v>43600</v>
      </c>
      <c r="AK907" s="803">
        <v>450</v>
      </c>
      <c r="AL907" s="803">
        <v>20</v>
      </c>
      <c r="AM907" s="803">
        <v>450</v>
      </c>
      <c r="AN907" s="803">
        <v>40</v>
      </c>
      <c r="AO907" s="803" t="s">
        <v>1630</v>
      </c>
      <c r="AP907" s="803">
        <v>29</v>
      </c>
      <c r="AQ907" s="803">
        <v>14</v>
      </c>
      <c r="AR907" s="803">
        <v>20</v>
      </c>
      <c r="AS907" s="803">
        <v>275</v>
      </c>
      <c r="AT907" s="803">
        <v>409</v>
      </c>
      <c r="AU907" s="803">
        <v>4.5</v>
      </c>
      <c r="AV907" s="803">
        <v>17.5</v>
      </c>
      <c r="AW907" s="803">
        <v>1890</v>
      </c>
      <c r="AX907" s="803">
        <v>8380</v>
      </c>
      <c r="AY907" s="803">
        <v>223</v>
      </c>
      <c r="AZ907" s="803">
        <v>5410</v>
      </c>
      <c r="BA907" s="803">
        <v>417</v>
      </c>
      <c r="BB907" s="803">
        <v>1670</v>
      </c>
      <c r="BC907" s="803">
        <v>129</v>
      </c>
      <c r="BD907" s="803">
        <v>2510</v>
      </c>
      <c r="BE907" s="803">
        <v>1.5908594704376311</v>
      </c>
      <c r="BF907" s="803">
        <v>480</v>
      </c>
      <c r="BG907" s="803">
        <v>2870</v>
      </c>
      <c r="BH907" s="803">
        <v>24000</v>
      </c>
      <c r="BI907" s="803">
        <v>60000</v>
      </c>
      <c r="BJ907" s="803">
        <v>150</v>
      </c>
      <c r="BK907" s="803">
        <v>1170</v>
      </c>
      <c r="BL907" s="807">
        <v>2690</v>
      </c>
    </row>
    <row r="908" spans="35:64" x14ac:dyDescent="0.3">
      <c r="AI908" s="801" t="s">
        <v>1631</v>
      </c>
      <c r="AJ908" s="802">
        <v>39300</v>
      </c>
      <c r="AK908" s="803">
        <v>450</v>
      </c>
      <c r="AL908" s="803">
        <v>20</v>
      </c>
      <c r="AM908" s="803">
        <v>450</v>
      </c>
      <c r="AN908" s="803">
        <v>35</v>
      </c>
      <c r="AO908" s="803" t="s">
        <v>1632</v>
      </c>
      <c r="AP908" s="803">
        <v>71</v>
      </c>
      <c r="AQ908" s="803">
        <v>25</v>
      </c>
      <c r="AR908" s="803">
        <v>18</v>
      </c>
      <c r="AS908" s="803">
        <v>229</v>
      </c>
      <c r="AT908" s="803">
        <v>342</v>
      </c>
      <c r="AU908" s="803">
        <v>5.63</v>
      </c>
      <c r="AV908" s="803">
        <v>18.5</v>
      </c>
      <c r="AW908" s="803">
        <v>1610</v>
      </c>
      <c r="AX908" s="803">
        <v>7150</v>
      </c>
      <c r="AY908" s="803">
        <v>184</v>
      </c>
      <c r="AZ908" s="803">
        <v>11400</v>
      </c>
      <c r="BA908" s="803">
        <v>912</v>
      </c>
      <c r="BB908" s="803">
        <v>4050</v>
      </c>
      <c r="BC908" s="803">
        <v>119</v>
      </c>
      <c r="BD908" s="803">
        <v>6150</v>
      </c>
      <c r="BE908" s="803">
        <v>1.613816690378608</v>
      </c>
      <c r="BF908" s="803">
        <v>390</v>
      </c>
      <c r="BG908" s="803">
        <v>67800</v>
      </c>
      <c r="BH908" s="803">
        <v>34700</v>
      </c>
      <c r="BI908" s="803">
        <v>43900</v>
      </c>
      <c r="BJ908" s="803">
        <v>296</v>
      </c>
      <c r="BK908" s="803">
        <v>2460</v>
      </c>
      <c r="BL908" s="807">
        <v>5670</v>
      </c>
    </row>
    <row r="909" spans="35:64" x14ac:dyDescent="0.3">
      <c r="AI909" s="801" t="s">
        <v>1633</v>
      </c>
      <c r="AJ909" s="802">
        <v>35000</v>
      </c>
      <c r="AK909" s="803">
        <v>450</v>
      </c>
      <c r="AL909" s="803">
        <v>20</v>
      </c>
      <c r="AM909" s="803">
        <v>450</v>
      </c>
      <c r="AN909" s="803">
        <v>30</v>
      </c>
      <c r="AO909" s="803" t="s">
        <v>1634</v>
      </c>
      <c r="AP909" s="803">
        <v>61</v>
      </c>
      <c r="AQ909" s="803">
        <v>20</v>
      </c>
      <c r="AR909" s="803">
        <v>18</v>
      </c>
      <c r="AS909" s="803">
        <v>207</v>
      </c>
      <c r="AT909" s="803">
        <v>308</v>
      </c>
      <c r="AU909" s="803">
        <v>6.43</v>
      </c>
      <c r="AV909" s="803">
        <v>19</v>
      </c>
      <c r="AW909" s="803">
        <v>1460</v>
      </c>
      <c r="AX909" s="803">
        <v>6480</v>
      </c>
      <c r="AY909" s="803">
        <v>190</v>
      </c>
      <c r="AZ909" s="803">
        <v>9640</v>
      </c>
      <c r="BA909" s="803">
        <v>760</v>
      </c>
      <c r="BB909" s="803">
        <v>3380</v>
      </c>
      <c r="BC909" s="803">
        <v>121</v>
      </c>
      <c r="BD909" s="803">
        <v>5100</v>
      </c>
      <c r="BE909" s="803">
        <v>1.594743687995023</v>
      </c>
      <c r="BF909" s="803">
        <v>400</v>
      </c>
      <c r="BG909" s="803">
        <v>38400</v>
      </c>
      <c r="BH909" s="803">
        <v>30400</v>
      </c>
      <c r="BI909" s="803">
        <v>45000</v>
      </c>
      <c r="BJ909" s="803">
        <v>253</v>
      </c>
      <c r="BK909" s="803">
        <v>2150</v>
      </c>
      <c r="BL909" s="807">
        <v>4810</v>
      </c>
    </row>
    <row r="910" spans="35:64" x14ac:dyDescent="0.3">
      <c r="AI910" s="801" t="s">
        <v>1635</v>
      </c>
      <c r="AJ910" s="802">
        <v>31600</v>
      </c>
      <c r="AK910" s="803">
        <v>450</v>
      </c>
      <c r="AL910" s="803">
        <v>16</v>
      </c>
      <c r="AM910" s="803">
        <v>450</v>
      </c>
      <c r="AN910" s="803">
        <v>28</v>
      </c>
      <c r="AO910" s="803" t="s">
        <v>1636</v>
      </c>
      <c r="AP910" s="803">
        <v>51</v>
      </c>
      <c r="AQ910" s="803">
        <v>20</v>
      </c>
      <c r="AR910" s="803">
        <v>18</v>
      </c>
      <c r="AS910" s="803">
        <v>184</v>
      </c>
      <c r="AT910" s="803">
        <v>274</v>
      </c>
      <c r="AU910" s="803">
        <v>7.5</v>
      </c>
      <c r="AV910" s="803">
        <v>19.5</v>
      </c>
      <c r="AW910" s="803">
        <v>1300</v>
      </c>
      <c r="AX910" s="803">
        <v>5770</v>
      </c>
      <c r="AY910" s="803">
        <v>192</v>
      </c>
      <c r="AZ910" s="803">
        <v>8100</v>
      </c>
      <c r="BA910" s="803">
        <v>608</v>
      </c>
      <c r="BB910" s="803">
        <v>2700</v>
      </c>
      <c r="BC910" s="803">
        <v>118</v>
      </c>
      <c r="BD910" s="803">
        <v>4090</v>
      </c>
      <c r="BE910" s="803">
        <v>1.5638604695317031</v>
      </c>
      <c r="BF910" s="803">
        <v>410</v>
      </c>
      <c r="BG910" s="803">
        <v>20200</v>
      </c>
      <c r="BH910" s="803">
        <v>25500</v>
      </c>
      <c r="BI910" s="803">
        <v>46100</v>
      </c>
      <c r="BJ910" s="803">
        <v>208</v>
      </c>
      <c r="BK910" s="803">
        <v>1760</v>
      </c>
      <c r="BL910" s="807">
        <v>4030</v>
      </c>
    </row>
    <row r="911" spans="35:64" x14ac:dyDescent="0.3">
      <c r="AI911" s="801" t="s">
        <v>1637</v>
      </c>
      <c r="AJ911" s="802">
        <v>29000</v>
      </c>
      <c r="AK911" s="803">
        <v>450</v>
      </c>
      <c r="AL911" s="803">
        <v>16</v>
      </c>
      <c r="AM911" s="803">
        <v>450</v>
      </c>
      <c r="AN911" s="803">
        <v>25</v>
      </c>
      <c r="AO911" s="803" t="s">
        <v>1638</v>
      </c>
      <c r="AP911" s="803">
        <v>46</v>
      </c>
      <c r="AQ911" s="803">
        <v>20</v>
      </c>
      <c r="AR911" s="803">
        <v>18</v>
      </c>
      <c r="AS911" s="803">
        <v>166</v>
      </c>
      <c r="AT911" s="803">
        <v>248</v>
      </c>
      <c r="AU911" s="803">
        <v>8.0399999999999991</v>
      </c>
      <c r="AV911" s="803">
        <v>24.6</v>
      </c>
      <c r="AW911" s="803">
        <v>1210</v>
      </c>
      <c r="AX911" s="803">
        <v>5380</v>
      </c>
      <c r="AY911" s="803">
        <v>193</v>
      </c>
      <c r="AZ911" s="803">
        <v>7290</v>
      </c>
      <c r="BA911" s="803">
        <v>532</v>
      </c>
      <c r="BB911" s="803">
        <v>2360</v>
      </c>
      <c r="BC911" s="803">
        <v>116</v>
      </c>
      <c r="BD911" s="803">
        <v>3580</v>
      </c>
      <c r="BE911" s="803">
        <v>1.546181066070585</v>
      </c>
      <c r="BF911" s="803">
        <v>415</v>
      </c>
      <c r="BG911" s="803">
        <v>13900</v>
      </c>
      <c r="BH911" s="803">
        <v>22900</v>
      </c>
      <c r="BI911" s="803">
        <v>46700</v>
      </c>
      <c r="BJ911" s="803">
        <v>184</v>
      </c>
      <c r="BK911" s="803">
        <v>1560</v>
      </c>
      <c r="BL911" s="807">
        <v>3630</v>
      </c>
    </row>
    <row r="912" spans="35:64" x14ac:dyDescent="0.3">
      <c r="AI912" s="801" t="s">
        <v>1639</v>
      </c>
      <c r="AJ912" s="802">
        <v>25600</v>
      </c>
      <c r="AK912" s="803">
        <v>450</v>
      </c>
      <c r="AL912" s="803">
        <v>14</v>
      </c>
      <c r="AM912" s="803">
        <v>450</v>
      </c>
      <c r="AN912" s="803">
        <v>22</v>
      </c>
      <c r="AO912" s="803" t="s">
        <v>1640</v>
      </c>
      <c r="AP912" s="803">
        <v>41</v>
      </c>
      <c r="AQ912" s="803">
        <v>20</v>
      </c>
      <c r="AR912" s="803">
        <v>18</v>
      </c>
      <c r="AS912" s="803">
        <v>152</v>
      </c>
      <c r="AT912" s="803">
        <v>228</v>
      </c>
      <c r="AU912" s="803">
        <v>9</v>
      </c>
      <c r="AV912" s="803">
        <v>25</v>
      </c>
      <c r="AW912" s="803">
        <v>1110</v>
      </c>
      <c r="AX912" s="803">
        <v>4920</v>
      </c>
      <c r="AY912" s="803">
        <v>193</v>
      </c>
      <c r="AZ912" s="803">
        <v>6470</v>
      </c>
      <c r="BA912" s="803">
        <v>456</v>
      </c>
      <c r="BB912" s="803">
        <v>2030</v>
      </c>
      <c r="BC912" s="803">
        <v>114</v>
      </c>
      <c r="BD912" s="803">
        <v>3080</v>
      </c>
      <c r="BE912" s="803">
        <v>1.526049246803475</v>
      </c>
      <c r="BF912" s="803">
        <v>420</v>
      </c>
      <c r="BG912" s="803">
        <v>9140</v>
      </c>
      <c r="BH912" s="803">
        <v>20100</v>
      </c>
      <c r="BI912" s="803">
        <v>47300</v>
      </c>
      <c r="BJ912" s="803">
        <v>159</v>
      </c>
      <c r="BK912" s="803">
        <v>1350</v>
      </c>
      <c r="BL912" s="807">
        <v>3220</v>
      </c>
    </row>
    <row r="913" spans="35:64" x14ac:dyDescent="0.3">
      <c r="AI913" s="801" t="s">
        <v>1641</v>
      </c>
      <c r="AJ913" s="802">
        <v>22600</v>
      </c>
      <c r="AK913" s="803">
        <v>450</v>
      </c>
      <c r="AL913" s="803">
        <v>11</v>
      </c>
      <c r="AM913" s="803">
        <v>450</v>
      </c>
      <c r="AN913" s="803">
        <v>20</v>
      </c>
      <c r="AO913" s="803" t="s">
        <v>1642</v>
      </c>
      <c r="AP913" s="803">
        <v>37</v>
      </c>
      <c r="AQ913" s="803">
        <v>16</v>
      </c>
      <c r="AR913" s="803">
        <v>18</v>
      </c>
      <c r="AS913" s="803">
        <v>134</v>
      </c>
      <c r="AT913" s="803">
        <v>201</v>
      </c>
      <c r="AU913" s="803">
        <v>10.199999999999999</v>
      </c>
      <c r="AV913" s="803">
        <v>29</v>
      </c>
      <c r="AW913" s="803">
        <v>991</v>
      </c>
      <c r="AX913" s="803">
        <v>4400</v>
      </c>
      <c r="AY913" s="803">
        <v>196</v>
      </c>
      <c r="AZ913" s="803">
        <v>5960</v>
      </c>
      <c r="BA913" s="803">
        <v>425</v>
      </c>
      <c r="BB913" s="803">
        <v>1890</v>
      </c>
      <c r="BC913" s="803">
        <v>116</v>
      </c>
      <c r="BD913" s="803">
        <v>2860</v>
      </c>
      <c r="BE913" s="803">
        <v>1.5304530048737219</v>
      </c>
      <c r="BF913" s="803">
        <v>422</v>
      </c>
      <c r="BG913" s="803">
        <v>7120</v>
      </c>
      <c r="BH913" s="803">
        <v>18900</v>
      </c>
      <c r="BI913" s="803">
        <v>47500</v>
      </c>
      <c r="BJ913" s="803">
        <v>150</v>
      </c>
      <c r="BK913" s="803">
        <v>1280</v>
      </c>
      <c r="BL913" s="807">
        <v>2970</v>
      </c>
    </row>
    <row r="914" spans="35:64" x14ac:dyDescent="0.3">
      <c r="AI914" s="801" t="s">
        <v>1643</v>
      </c>
      <c r="AJ914" s="802">
        <v>56600</v>
      </c>
      <c r="AK914" s="803">
        <v>400</v>
      </c>
      <c r="AL914" s="803">
        <v>30</v>
      </c>
      <c r="AM914" s="803">
        <v>400</v>
      </c>
      <c r="AN914" s="803">
        <v>60</v>
      </c>
      <c r="AO914" s="803" t="s">
        <v>1644</v>
      </c>
      <c r="AP914" s="803">
        <v>34</v>
      </c>
      <c r="AQ914" s="803">
        <v>16</v>
      </c>
      <c r="AR914" s="803">
        <v>18</v>
      </c>
      <c r="AS914" s="803">
        <v>119</v>
      </c>
      <c r="AT914" s="803">
        <v>177</v>
      </c>
      <c r="AU914" s="803">
        <v>11.3</v>
      </c>
      <c r="AV914" s="803">
        <v>37.299999999999997</v>
      </c>
      <c r="AW914" s="803">
        <v>901</v>
      </c>
      <c r="AX914" s="803">
        <v>4000</v>
      </c>
      <c r="AY914" s="803">
        <v>195</v>
      </c>
      <c r="AZ914" s="803">
        <v>5450</v>
      </c>
      <c r="BA914" s="803">
        <v>380</v>
      </c>
      <c r="BB914" s="803">
        <v>1690</v>
      </c>
      <c r="BC914" s="803">
        <v>114</v>
      </c>
      <c r="BD914" s="803">
        <v>2560</v>
      </c>
      <c r="BE914" s="803">
        <v>1.5176321614544981</v>
      </c>
      <c r="BF914" s="803">
        <v>425</v>
      </c>
      <c r="BG914" s="803">
        <v>5230</v>
      </c>
      <c r="BH914" s="803">
        <v>17200</v>
      </c>
      <c r="BI914" s="803">
        <v>47800</v>
      </c>
      <c r="BJ914" s="803">
        <v>134</v>
      </c>
      <c r="BK914" s="803">
        <v>1150</v>
      </c>
      <c r="BL914" s="807">
        <v>2710</v>
      </c>
    </row>
    <row r="915" spans="35:64" x14ac:dyDescent="0.3">
      <c r="AI915" s="801" t="s">
        <v>1645</v>
      </c>
      <c r="AJ915" s="802">
        <v>46200</v>
      </c>
      <c r="AK915" s="803">
        <v>400</v>
      </c>
      <c r="AL915" s="803">
        <v>20</v>
      </c>
      <c r="AM915" s="803">
        <v>400</v>
      </c>
      <c r="AN915" s="803">
        <v>50</v>
      </c>
      <c r="AO915" s="803" t="s">
        <v>1646</v>
      </c>
      <c r="AP915" s="803">
        <v>31</v>
      </c>
      <c r="AQ915" s="803">
        <v>15</v>
      </c>
      <c r="AR915" s="803">
        <v>18</v>
      </c>
      <c r="AS915" s="803">
        <v>298</v>
      </c>
      <c r="AT915" s="803">
        <v>444</v>
      </c>
      <c r="AU915" s="803">
        <v>3.33</v>
      </c>
      <c r="AV915" s="803">
        <v>9.33</v>
      </c>
      <c r="AW915" s="803">
        <v>1460</v>
      </c>
      <c r="AX915" s="803">
        <v>7300</v>
      </c>
      <c r="AY915" s="803">
        <v>197</v>
      </c>
      <c r="AZ915" s="803">
        <v>4840</v>
      </c>
      <c r="BA915" s="803">
        <v>334</v>
      </c>
      <c r="BB915" s="803">
        <v>1490</v>
      </c>
      <c r="BC915" s="803">
        <v>114</v>
      </c>
      <c r="BD915" s="803">
        <v>2250</v>
      </c>
      <c r="BE915" s="803">
        <v>1.510332775880612</v>
      </c>
      <c r="BF915" s="803">
        <v>428</v>
      </c>
      <c r="BG915" s="803">
        <v>3570</v>
      </c>
      <c r="BH915" s="803">
        <v>15300</v>
      </c>
      <c r="BI915" s="803">
        <v>48200</v>
      </c>
      <c r="BJ915" s="803">
        <v>119</v>
      </c>
      <c r="BK915" s="803">
        <v>1030</v>
      </c>
      <c r="BL915" s="807">
        <v>2410</v>
      </c>
    </row>
    <row r="916" spans="35:64" x14ac:dyDescent="0.3">
      <c r="AI916" s="801" t="s">
        <v>1647</v>
      </c>
      <c r="AJ916" s="802">
        <v>38600</v>
      </c>
      <c r="AK916" s="803">
        <v>400</v>
      </c>
      <c r="AL916" s="803">
        <v>20</v>
      </c>
      <c r="AM916" s="803">
        <v>400</v>
      </c>
      <c r="AN916" s="803">
        <v>40</v>
      </c>
      <c r="AO916" s="803" t="s">
        <v>1648</v>
      </c>
      <c r="AP916" s="803">
        <v>29</v>
      </c>
      <c r="AQ916" s="803">
        <v>14</v>
      </c>
      <c r="AR916" s="803">
        <v>18</v>
      </c>
      <c r="AS916" s="803">
        <v>243</v>
      </c>
      <c r="AT916" s="803">
        <v>362</v>
      </c>
      <c r="AU916" s="803">
        <v>4</v>
      </c>
      <c r="AV916" s="803">
        <v>15</v>
      </c>
      <c r="AW916" s="803">
        <v>1280</v>
      </c>
      <c r="AX916" s="803">
        <v>6410</v>
      </c>
      <c r="AY916" s="803">
        <v>200</v>
      </c>
      <c r="AZ916" s="803">
        <v>4360</v>
      </c>
      <c r="BA916" s="803">
        <v>304</v>
      </c>
      <c r="BB916" s="803">
        <v>1350</v>
      </c>
      <c r="BC916" s="803">
        <v>116</v>
      </c>
      <c r="BD916" s="803">
        <v>2040</v>
      </c>
      <c r="BE916" s="803">
        <v>1.5131709996788389</v>
      </c>
      <c r="BF916" s="803">
        <v>430</v>
      </c>
      <c r="BG916" s="803">
        <v>2580</v>
      </c>
      <c r="BH916" s="803">
        <v>14000</v>
      </c>
      <c r="BI916" s="803">
        <v>48400</v>
      </c>
      <c r="BJ916" s="803">
        <v>109</v>
      </c>
      <c r="BK916" s="803">
        <v>944</v>
      </c>
      <c r="BL916" s="807">
        <v>2170</v>
      </c>
    </row>
    <row r="917" spans="35:64" x14ac:dyDescent="0.3">
      <c r="AI917" s="801" t="s">
        <v>1649</v>
      </c>
      <c r="AJ917" s="802">
        <v>34800</v>
      </c>
      <c r="AK917" s="803">
        <v>400</v>
      </c>
      <c r="AL917" s="803">
        <v>20</v>
      </c>
      <c r="AM917" s="803">
        <v>400</v>
      </c>
      <c r="AN917" s="803">
        <v>35</v>
      </c>
      <c r="AO917" s="803" t="s">
        <v>1650</v>
      </c>
      <c r="AP917" s="803">
        <v>71</v>
      </c>
      <c r="AQ917" s="803">
        <v>25</v>
      </c>
      <c r="AR917" s="803">
        <v>16</v>
      </c>
      <c r="AS917" s="803">
        <v>203</v>
      </c>
      <c r="AT917" s="803">
        <v>303</v>
      </c>
      <c r="AU917" s="803">
        <v>5</v>
      </c>
      <c r="AV917" s="803">
        <v>16</v>
      </c>
      <c r="AW917" s="803">
        <v>1100</v>
      </c>
      <c r="AX917" s="803">
        <v>5500</v>
      </c>
      <c r="AY917" s="803">
        <v>161</v>
      </c>
      <c r="AZ917" s="803">
        <v>8770</v>
      </c>
      <c r="BA917" s="803">
        <v>641</v>
      </c>
      <c r="BB917" s="803">
        <v>3200</v>
      </c>
      <c r="BC917" s="803">
        <v>106</v>
      </c>
      <c r="BD917" s="803">
        <v>4870</v>
      </c>
      <c r="BE917" s="803">
        <v>1.535787086635181</v>
      </c>
      <c r="BF917" s="803">
        <v>340</v>
      </c>
      <c r="BG917" s="803">
        <v>60100</v>
      </c>
      <c r="BH917" s="803">
        <v>18500</v>
      </c>
      <c r="BI917" s="803">
        <v>34000</v>
      </c>
      <c r="BJ917" s="803">
        <v>204</v>
      </c>
      <c r="BK917" s="803">
        <v>1890</v>
      </c>
      <c r="BL917" s="807">
        <v>4370</v>
      </c>
    </row>
    <row r="918" spans="35:64" x14ac:dyDescent="0.3">
      <c r="AI918" s="801" t="s">
        <v>1651</v>
      </c>
      <c r="AJ918" s="802">
        <v>31000</v>
      </c>
      <c r="AK918" s="803">
        <v>400</v>
      </c>
      <c r="AL918" s="803">
        <v>20</v>
      </c>
      <c r="AM918" s="803">
        <v>400</v>
      </c>
      <c r="AN918" s="803">
        <v>30</v>
      </c>
      <c r="AO918" s="803" t="s">
        <v>1652</v>
      </c>
      <c r="AP918" s="803">
        <v>61</v>
      </c>
      <c r="AQ918" s="803">
        <v>20</v>
      </c>
      <c r="AR918" s="803">
        <v>16</v>
      </c>
      <c r="AS918" s="803">
        <v>183</v>
      </c>
      <c r="AT918" s="803">
        <v>273</v>
      </c>
      <c r="AU918" s="803">
        <v>5.71</v>
      </c>
      <c r="AV918" s="803">
        <v>16.5</v>
      </c>
      <c r="AW918" s="803">
        <v>1000</v>
      </c>
      <c r="AX918" s="803">
        <v>5000</v>
      </c>
      <c r="AY918" s="803">
        <v>167</v>
      </c>
      <c r="AZ918" s="803">
        <v>7480</v>
      </c>
      <c r="BA918" s="803">
        <v>534</v>
      </c>
      <c r="BB918" s="803">
        <v>2670</v>
      </c>
      <c r="BC918" s="803">
        <v>107</v>
      </c>
      <c r="BD918" s="803">
        <v>4030</v>
      </c>
      <c r="BE918" s="803">
        <v>1.5181938594724591</v>
      </c>
      <c r="BF918" s="803">
        <v>350</v>
      </c>
      <c r="BG918" s="803">
        <v>34100</v>
      </c>
      <c r="BH918" s="803">
        <v>16300</v>
      </c>
      <c r="BI918" s="803">
        <v>35000</v>
      </c>
      <c r="BJ918" s="803">
        <v>175</v>
      </c>
      <c r="BK918" s="803">
        <v>1660</v>
      </c>
      <c r="BL918" s="807">
        <v>3730</v>
      </c>
    </row>
    <row r="919" spans="35:64" x14ac:dyDescent="0.3">
      <c r="AI919" s="801" t="s">
        <v>1653</v>
      </c>
      <c r="AJ919" s="802">
        <v>28000</v>
      </c>
      <c r="AK919" s="803">
        <v>400</v>
      </c>
      <c r="AL919" s="803">
        <v>16</v>
      </c>
      <c r="AM919" s="803">
        <v>400</v>
      </c>
      <c r="AN919" s="803">
        <v>28</v>
      </c>
      <c r="AO919" s="803" t="s">
        <v>1654</v>
      </c>
      <c r="AP919" s="803">
        <v>51</v>
      </c>
      <c r="AQ919" s="803">
        <v>20</v>
      </c>
      <c r="AR919" s="803">
        <v>16</v>
      </c>
      <c r="AS919" s="803">
        <v>163</v>
      </c>
      <c r="AT919" s="803">
        <v>243</v>
      </c>
      <c r="AU919" s="803">
        <v>6.67</v>
      </c>
      <c r="AV919" s="803">
        <v>17</v>
      </c>
      <c r="AW919" s="803">
        <v>894</v>
      </c>
      <c r="AX919" s="803">
        <v>4470</v>
      </c>
      <c r="AY919" s="803">
        <v>169</v>
      </c>
      <c r="AZ919" s="803">
        <v>6300</v>
      </c>
      <c r="BA919" s="803">
        <v>427</v>
      </c>
      <c r="BB919" s="803">
        <v>2130</v>
      </c>
      <c r="BC919" s="803">
        <v>105</v>
      </c>
      <c r="BD919" s="803">
        <v>3230</v>
      </c>
      <c r="BE919" s="803">
        <v>1.485526480431796</v>
      </c>
      <c r="BF919" s="803">
        <v>360</v>
      </c>
      <c r="BG919" s="803">
        <v>17900</v>
      </c>
      <c r="BH919" s="803">
        <v>13800</v>
      </c>
      <c r="BI919" s="803">
        <v>36000</v>
      </c>
      <c r="BJ919" s="803">
        <v>144</v>
      </c>
      <c r="BK919" s="803">
        <v>1370</v>
      </c>
      <c r="BL919" s="807">
        <v>3140</v>
      </c>
    </row>
    <row r="920" spans="35:64" x14ac:dyDescent="0.3">
      <c r="AI920" s="801" t="s">
        <v>1655</v>
      </c>
      <c r="AJ920" s="802">
        <v>25700</v>
      </c>
      <c r="AK920" s="803">
        <v>400</v>
      </c>
      <c r="AL920" s="803">
        <v>16</v>
      </c>
      <c r="AM920" s="803">
        <v>400</v>
      </c>
      <c r="AN920" s="803">
        <v>25</v>
      </c>
      <c r="AO920" s="803" t="s">
        <v>1656</v>
      </c>
      <c r="AP920" s="803">
        <v>46</v>
      </c>
      <c r="AQ920" s="803">
        <v>20</v>
      </c>
      <c r="AR920" s="803">
        <v>16</v>
      </c>
      <c r="AS920" s="803">
        <v>147</v>
      </c>
      <c r="AT920" s="803">
        <v>220</v>
      </c>
      <c r="AU920" s="803">
        <v>7.14</v>
      </c>
      <c r="AV920" s="803">
        <v>21.5</v>
      </c>
      <c r="AW920" s="803">
        <v>834</v>
      </c>
      <c r="AX920" s="803">
        <v>4170</v>
      </c>
      <c r="AY920" s="803">
        <v>170</v>
      </c>
      <c r="AZ920" s="803">
        <v>5680</v>
      </c>
      <c r="BA920" s="803">
        <v>374</v>
      </c>
      <c r="BB920" s="803">
        <v>1870</v>
      </c>
      <c r="BC920" s="803">
        <v>104</v>
      </c>
      <c r="BD920" s="803">
        <v>2840</v>
      </c>
      <c r="BE920" s="803">
        <v>1.4674838209614609</v>
      </c>
      <c r="BF920" s="803">
        <v>365</v>
      </c>
      <c r="BG920" s="803">
        <v>12300</v>
      </c>
      <c r="BH920" s="803">
        <v>12400</v>
      </c>
      <c r="BI920" s="803">
        <v>36500</v>
      </c>
      <c r="BJ920" s="803">
        <v>128</v>
      </c>
      <c r="BK920" s="803">
        <v>1210</v>
      </c>
      <c r="BL920" s="807">
        <v>2830</v>
      </c>
    </row>
    <row r="921" spans="35:64" x14ac:dyDescent="0.3">
      <c r="AI921" s="801" t="s">
        <v>1657</v>
      </c>
      <c r="AJ921" s="802">
        <v>22700</v>
      </c>
      <c r="AK921" s="803">
        <v>400</v>
      </c>
      <c r="AL921" s="803">
        <v>14</v>
      </c>
      <c r="AM921" s="803">
        <v>400</v>
      </c>
      <c r="AN921" s="803">
        <v>22</v>
      </c>
      <c r="AO921" s="803" t="s">
        <v>1658</v>
      </c>
      <c r="AP921" s="803">
        <v>41</v>
      </c>
      <c r="AQ921" s="803">
        <v>20</v>
      </c>
      <c r="AR921" s="803">
        <v>16</v>
      </c>
      <c r="AS921" s="803">
        <v>135</v>
      </c>
      <c r="AT921" s="803">
        <v>202</v>
      </c>
      <c r="AU921" s="803">
        <v>8</v>
      </c>
      <c r="AV921" s="803">
        <v>21.9</v>
      </c>
      <c r="AW921" s="803">
        <v>765</v>
      </c>
      <c r="AX921" s="803">
        <v>3830</v>
      </c>
      <c r="AY921" s="803">
        <v>170</v>
      </c>
      <c r="AZ921" s="803">
        <v>5050</v>
      </c>
      <c r="BA921" s="803">
        <v>320</v>
      </c>
      <c r="BB921" s="803">
        <v>1600</v>
      </c>
      <c r="BC921" s="803">
        <v>102</v>
      </c>
      <c r="BD921" s="803">
        <v>2440</v>
      </c>
      <c r="BE921" s="803">
        <v>1.4486614603718271</v>
      </c>
      <c r="BF921" s="803">
        <v>370</v>
      </c>
      <c r="BG921" s="803">
        <v>8110</v>
      </c>
      <c r="BH921" s="803">
        <v>11000</v>
      </c>
      <c r="BI921" s="803">
        <v>37000</v>
      </c>
      <c r="BJ921" s="803">
        <v>111</v>
      </c>
      <c r="BK921" s="803">
        <v>1050</v>
      </c>
      <c r="BL921" s="807">
        <v>2510</v>
      </c>
    </row>
    <row r="922" spans="35:64" x14ac:dyDescent="0.3">
      <c r="AI922" s="801" t="s">
        <v>1659</v>
      </c>
      <c r="AJ922" s="802">
        <v>20100</v>
      </c>
      <c r="AK922" s="803">
        <v>400</v>
      </c>
      <c r="AL922" s="803">
        <v>11</v>
      </c>
      <c r="AM922" s="803">
        <v>400</v>
      </c>
      <c r="AN922" s="803">
        <v>20</v>
      </c>
      <c r="AO922" s="803" t="s">
        <v>1660</v>
      </c>
      <c r="AP922" s="803">
        <v>37</v>
      </c>
      <c r="AQ922" s="803">
        <v>16</v>
      </c>
      <c r="AR922" s="803">
        <v>16</v>
      </c>
      <c r="AS922" s="803">
        <v>119</v>
      </c>
      <c r="AT922" s="803">
        <v>178</v>
      </c>
      <c r="AU922" s="803">
        <v>9.09</v>
      </c>
      <c r="AV922" s="803">
        <v>25.4</v>
      </c>
      <c r="AW922" s="803">
        <v>686</v>
      </c>
      <c r="AX922" s="803">
        <v>3430</v>
      </c>
      <c r="AY922" s="803">
        <v>173</v>
      </c>
      <c r="AZ922" s="803">
        <v>4660</v>
      </c>
      <c r="BA922" s="803">
        <v>299</v>
      </c>
      <c r="BB922" s="803">
        <v>1490</v>
      </c>
      <c r="BC922" s="803">
        <v>103</v>
      </c>
      <c r="BD922" s="803">
        <v>2260</v>
      </c>
      <c r="BE922" s="803">
        <v>1.4505879916573241</v>
      </c>
      <c r="BF922" s="803">
        <v>372</v>
      </c>
      <c r="BG922" s="803">
        <v>6320</v>
      </c>
      <c r="BH922" s="803">
        <v>10300</v>
      </c>
      <c r="BI922" s="803">
        <v>37200</v>
      </c>
      <c r="BJ922" s="803">
        <v>104</v>
      </c>
      <c r="BK922" s="803">
        <v>1000</v>
      </c>
      <c r="BL922" s="807">
        <v>2320</v>
      </c>
    </row>
    <row r="923" spans="35:64" x14ac:dyDescent="0.3">
      <c r="AI923" s="801" t="s">
        <v>1661</v>
      </c>
      <c r="AJ923" s="802">
        <v>40200</v>
      </c>
      <c r="AK923" s="803">
        <v>350</v>
      </c>
      <c r="AL923" s="803">
        <v>20</v>
      </c>
      <c r="AM923" s="803">
        <v>350</v>
      </c>
      <c r="AN923" s="803">
        <v>50</v>
      </c>
      <c r="AO923" s="803" t="s">
        <v>1662</v>
      </c>
      <c r="AP923" s="803">
        <v>34</v>
      </c>
      <c r="AQ923" s="803">
        <v>16</v>
      </c>
      <c r="AR923" s="803">
        <v>16</v>
      </c>
      <c r="AS923" s="803">
        <v>105</v>
      </c>
      <c r="AT923" s="803">
        <v>157</v>
      </c>
      <c r="AU923" s="803">
        <v>10</v>
      </c>
      <c r="AV923" s="803">
        <v>32.700000000000003</v>
      </c>
      <c r="AW923" s="803">
        <v>625</v>
      </c>
      <c r="AX923" s="803">
        <v>3120</v>
      </c>
      <c r="AY923" s="803">
        <v>172</v>
      </c>
      <c r="AZ923" s="803">
        <v>4260</v>
      </c>
      <c r="BA923" s="803">
        <v>267</v>
      </c>
      <c r="BB923" s="803">
        <v>1330</v>
      </c>
      <c r="BC923" s="803">
        <v>102</v>
      </c>
      <c r="BD923" s="803">
        <v>2020</v>
      </c>
      <c r="BE923" s="803">
        <v>1.4382944590450071</v>
      </c>
      <c r="BF923" s="803">
        <v>375</v>
      </c>
      <c r="BG923" s="803">
        <v>4640</v>
      </c>
      <c r="BH923" s="803">
        <v>9380</v>
      </c>
      <c r="BI923" s="803">
        <v>37500</v>
      </c>
      <c r="BJ923" s="803">
        <v>93.8</v>
      </c>
      <c r="BK923" s="803">
        <v>900</v>
      </c>
      <c r="BL923" s="807">
        <v>2120</v>
      </c>
    </row>
    <row r="924" spans="35:64" x14ac:dyDescent="0.3">
      <c r="AI924" s="801" t="s">
        <v>1663</v>
      </c>
      <c r="AJ924" s="802">
        <v>33600</v>
      </c>
      <c r="AK924" s="803">
        <v>350</v>
      </c>
      <c r="AL924" s="803">
        <v>20</v>
      </c>
      <c r="AM924" s="803">
        <v>350</v>
      </c>
      <c r="AN924" s="803">
        <v>40</v>
      </c>
      <c r="AO924" s="803" t="s">
        <v>1664</v>
      </c>
      <c r="AP924" s="803">
        <v>31</v>
      </c>
      <c r="AQ924" s="803">
        <v>15</v>
      </c>
      <c r="AR924" s="803">
        <v>16</v>
      </c>
      <c r="AS924" s="803">
        <v>211</v>
      </c>
      <c r="AT924" s="803">
        <v>315</v>
      </c>
      <c r="AU924" s="803">
        <v>3.5</v>
      </c>
      <c r="AV924" s="803">
        <v>12.5</v>
      </c>
      <c r="AW924" s="803">
        <v>824</v>
      </c>
      <c r="AX924" s="803">
        <v>4710</v>
      </c>
      <c r="AY924" s="803">
        <v>174</v>
      </c>
      <c r="AZ924" s="803">
        <v>3790</v>
      </c>
      <c r="BA924" s="803">
        <v>235</v>
      </c>
      <c r="BB924" s="803">
        <v>1170</v>
      </c>
      <c r="BC924" s="803">
        <v>102</v>
      </c>
      <c r="BD924" s="803">
        <v>1780</v>
      </c>
      <c r="BE924" s="803">
        <v>1.4306895266680291</v>
      </c>
      <c r="BF924" s="803">
        <v>378</v>
      </c>
      <c r="BG924" s="803">
        <v>3170</v>
      </c>
      <c r="BH924" s="803">
        <v>8390</v>
      </c>
      <c r="BI924" s="803">
        <v>37800</v>
      </c>
      <c r="BJ924" s="803">
        <v>83.2</v>
      </c>
      <c r="BK924" s="803">
        <v>802</v>
      </c>
      <c r="BL924" s="807">
        <v>1880</v>
      </c>
    </row>
    <row r="925" spans="35:64" x14ac:dyDescent="0.3">
      <c r="AI925" s="801" t="s">
        <v>1665</v>
      </c>
      <c r="AJ925" s="802">
        <v>30300</v>
      </c>
      <c r="AK925" s="803">
        <v>350</v>
      </c>
      <c r="AL925" s="803">
        <v>20</v>
      </c>
      <c r="AM925" s="803">
        <v>350</v>
      </c>
      <c r="AN925" s="803">
        <v>35</v>
      </c>
      <c r="AO925" s="803" t="s">
        <v>1666</v>
      </c>
      <c r="AP925" s="803">
        <v>29</v>
      </c>
      <c r="AQ925" s="803">
        <v>14</v>
      </c>
      <c r="AR925" s="803">
        <v>16</v>
      </c>
      <c r="AS925" s="803">
        <v>177</v>
      </c>
      <c r="AT925" s="803">
        <v>263</v>
      </c>
      <c r="AU925" s="803">
        <v>4.38</v>
      </c>
      <c r="AV925" s="803">
        <v>13.5</v>
      </c>
      <c r="AW925" s="803">
        <v>712</v>
      </c>
      <c r="AX925" s="803">
        <v>4070</v>
      </c>
      <c r="AY925" s="803">
        <v>176</v>
      </c>
      <c r="AZ925" s="803">
        <v>3420</v>
      </c>
      <c r="BA925" s="803">
        <v>213</v>
      </c>
      <c r="BB925" s="803">
        <v>1070</v>
      </c>
      <c r="BC925" s="803">
        <v>103</v>
      </c>
      <c r="BD925" s="803">
        <v>1610</v>
      </c>
      <c r="BE925" s="803">
        <v>1.431454583467815</v>
      </c>
      <c r="BF925" s="803">
        <v>380</v>
      </c>
      <c r="BG925" s="803">
        <v>2290</v>
      </c>
      <c r="BH925" s="803">
        <v>7700</v>
      </c>
      <c r="BI925" s="803">
        <v>38000</v>
      </c>
      <c r="BJ925" s="803">
        <v>76</v>
      </c>
      <c r="BK925" s="803">
        <v>739</v>
      </c>
      <c r="BL925" s="807">
        <v>1700</v>
      </c>
    </row>
    <row r="926" spans="35:64" x14ac:dyDescent="0.3">
      <c r="AI926" s="801" t="s">
        <v>1667</v>
      </c>
      <c r="AJ926" s="802">
        <v>27000</v>
      </c>
      <c r="AK926" s="803">
        <v>350</v>
      </c>
      <c r="AL926" s="803">
        <v>20</v>
      </c>
      <c r="AM926" s="803">
        <v>350</v>
      </c>
      <c r="AN926" s="803">
        <v>30</v>
      </c>
      <c r="AO926" s="803" t="s">
        <v>1668</v>
      </c>
      <c r="AP926" s="803">
        <v>61</v>
      </c>
      <c r="AQ926" s="803">
        <v>20</v>
      </c>
      <c r="AR926" s="803">
        <v>14</v>
      </c>
      <c r="AS926" s="803">
        <v>159</v>
      </c>
      <c r="AT926" s="803">
        <v>238</v>
      </c>
      <c r="AU926" s="803">
        <v>5</v>
      </c>
      <c r="AV926" s="803">
        <v>14</v>
      </c>
      <c r="AW926" s="803">
        <v>650</v>
      </c>
      <c r="AX926" s="803">
        <v>3720</v>
      </c>
      <c r="AY926" s="803">
        <v>143</v>
      </c>
      <c r="AZ926" s="803">
        <v>5580</v>
      </c>
      <c r="BA926" s="803">
        <v>357</v>
      </c>
      <c r="BB926" s="803">
        <v>2040</v>
      </c>
      <c r="BC926" s="803">
        <v>94.3</v>
      </c>
      <c r="BD926" s="803">
        <v>3090</v>
      </c>
      <c r="BE926" s="803">
        <v>1.4338953631972819</v>
      </c>
      <c r="BF926" s="803">
        <v>300</v>
      </c>
      <c r="BG926" s="803">
        <v>29800</v>
      </c>
      <c r="BH926" s="803">
        <v>8040</v>
      </c>
      <c r="BI926" s="803">
        <v>26300</v>
      </c>
      <c r="BJ926" s="803">
        <v>115</v>
      </c>
      <c r="BK926" s="803">
        <v>1240</v>
      </c>
      <c r="BL926" s="807">
        <v>2780</v>
      </c>
    </row>
    <row r="927" spans="35:64" x14ac:dyDescent="0.3">
      <c r="AI927" s="801" t="s">
        <v>1669</v>
      </c>
      <c r="AJ927" s="802">
        <v>24400</v>
      </c>
      <c r="AK927" s="803">
        <v>350</v>
      </c>
      <c r="AL927" s="803">
        <v>16</v>
      </c>
      <c r="AM927" s="803">
        <v>350</v>
      </c>
      <c r="AN927" s="803">
        <v>28</v>
      </c>
      <c r="AO927" s="803" t="s">
        <v>1670</v>
      </c>
      <c r="AP927" s="803">
        <v>51</v>
      </c>
      <c r="AQ927" s="803">
        <v>20</v>
      </c>
      <c r="AR927" s="803">
        <v>14</v>
      </c>
      <c r="AS927" s="803">
        <v>142</v>
      </c>
      <c r="AT927" s="803">
        <v>212</v>
      </c>
      <c r="AU927" s="803">
        <v>5.83</v>
      </c>
      <c r="AV927" s="803">
        <v>14.5</v>
      </c>
      <c r="AW927" s="803">
        <v>583</v>
      </c>
      <c r="AX927" s="803">
        <v>3330</v>
      </c>
      <c r="AY927" s="803">
        <v>146</v>
      </c>
      <c r="AZ927" s="803">
        <v>4730</v>
      </c>
      <c r="BA927" s="803">
        <v>286</v>
      </c>
      <c r="BB927" s="803">
        <v>1630</v>
      </c>
      <c r="BC927" s="803">
        <v>92.3</v>
      </c>
      <c r="BD927" s="803">
        <v>2480</v>
      </c>
      <c r="BE927" s="803">
        <v>1.4031066912388639</v>
      </c>
      <c r="BF927" s="803">
        <v>310</v>
      </c>
      <c r="BG927" s="803">
        <v>15700</v>
      </c>
      <c r="BH927" s="803">
        <v>6870</v>
      </c>
      <c r="BI927" s="803">
        <v>27100</v>
      </c>
      <c r="BJ927" s="803">
        <v>94.9</v>
      </c>
      <c r="BK927" s="803">
        <v>1020</v>
      </c>
      <c r="BL927" s="807">
        <v>2350</v>
      </c>
    </row>
    <row r="928" spans="35:64" x14ac:dyDescent="0.3">
      <c r="AI928" s="801" t="s">
        <v>1671</v>
      </c>
      <c r="AJ928" s="802">
        <v>22400</v>
      </c>
      <c r="AK928" s="803">
        <v>350</v>
      </c>
      <c r="AL928" s="803">
        <v>16</v>
      </c>
      <c r="AM928" s="803">
        <v>350</v>
      </c>
      <c r="AN928" s="803">
        <v>25</v>
      </c>
      <c r="AO928" s="803" t="s">
        <v>1672</v>
      </c>
      <c r="AP928" s="803">
        <v>46</v>
      </c>
      <c r="AQ928" s="803">
        <v>20</v>
      </c>
      <c r="AR928" s="803">
        <v>14</v>
      </c>
      <c r="AS928" s="803">
        <v>128</v>
      </c>
      <c r="AT928" s="803">
        <v>192</v>
      </c>
      <c r="AU928" s="803">
        <v>6.25</v>
      </c>
      <c r="AV928" s="803">
        <v>18.399999999999999</v>
      </c>
      <c r="AW928" s="803">
        <v>546</v>
      </c>
      <c r="AX928" s="803">
        <v>3120</v>
      </c>
      <c r="AY928" s="803">
        <v>147</v>
      </c>
      <c r="AZ928" s="803">
        <v>4280</v>
      </c>
      <c r="BA928" s="803">
        <v>250</v>
      </c>
      <c r="BB928" s="803">
        <v>1430</v>
      </c>
      <c r="BC928" s="803">
        <v>90.9</v>
      </c>
      <c r="BD928" s="803">
        <v>2170</v>
      </c>
      <c r="BE928" s="803">
        <v>1.384526344687937</v>
      </c>
      <c r="BF928" s="803">
        <v>315</v>
      </c>
      <c r="BG928" s="803">
        <v>10800</v>
      </c>
      <c r="BH928" s="803">
        <v>6210</v>
      </c>
      <c r="BI928" s="803">
        <v>27600</v>
      </c>
      <c r="BJ928" s="803">
        <v>84.4</v>
      </c>
      <c r="BK928" s="803">
        <v>910</v>
      </c>
      <c r="BL928" s="807">
        <v>2130</v>
      </c>
    </row>
    <row r="929" spans="35:64" x14ac:dyDescent="0.3">
      <c r="AI929" s="801" t="s">
        <v>1673</v>
      </c>
      <c r="AJ929" s="802">
        <v>19800</v>
      </c>
      <c r="AK929" s="803">
        <v>350</v>
      </c>
      <c r="AL929" s="803">
        <v>14</v>
      </c>
      <c r="AM929" s="803">
        <v>350</v>
      </c>
      <c r="AN929" s="803">
        <v>22</v>
      </c>
      <c r="AO929" s="803" t="s">
        <v>1674</v>
      </c>
      <c r="AP929" s="803">
        <v>41</v>
      </c>
      <c r="AQ929" s="803">
        <v>20</v>
      </c>
      <c r="AR929" s="803">
        <v>14</v>
      </c>
      <c r="AS929" s="803">
        <v>118</v>
      </c>
      <c r="AT929" s="803">
        <v>176</v>
      </c>
      <c r="AU929" s="803">
        <v>7</v>
      </c>
      <c r="AV929" s="803">
        <v>18.8</v>
      </c>
      <c r="AW929" s="803">
        <v>502</v>
      </c>
      <c r="AX929" s="803">
        <v>2870</v>
      </c>
      <c r="AY929" s="803">
        <v>147</v>
      </c>
      <c r="AZ929" s="803">
        <v>3810</v>
      </c>
      <c r="BA929" s="803">
        <v>215</v>
      </c>
      <c r="BB929" s="803">
        <v>1230</v>
      </c>
      <c r="BC929" s="803">
        <v>89.2</v>
      </c>
      <c r="BD929" s="803">
        <v>1870</v>
      </c>
      <c r="BE929" s="803">
        <v>1.365112438104934</v>
      </c>
      <c r="BF929" s="803">
        <v>320</v>
      </c>
      <c r="BG929" s="803">
        <v>7070</v>
      </c>
      <c r="BH929" s="803">
        <v>5490</v>
      </c>
      <c r="BI929" s="803">
        <v>28000</v>
      </c>
      <c r="BJ929" s="803">
        <v>73.5</v>
      </c>
      <c r="BK929" s="803">
        <v>792</v>
      </c>
      <c r="BL929" s="807">
        <v>1890</v>
      </c>
    </row>
    <row r="930" spans="35:64" x14ac:dyDescent="0.3">
      <c r="AI930" s="808" t="s">
        <v>1675</v>
      </c>
      <c r="AJ930" s="809">
        <v>17500</v>
      </c>
      <c r="AK930" s="796">
        <v>350</v>
      </c>
      <c r="AL930" s="796">
        <v>11</v>
      </c>
      <c r="AM930" s="796">
        <v>350</v>
      </c>
      <c r="AN930" s="796">
        <v>20</v>
      </c>
      <c r="AO930" s="803" t="s">
        <v>1676</v>
      </c>
      <c r="AP930" s="803">
        <v>37</v>
      </c>
      <c r="AQ930" s="803">
        <v>16</v>
      </c>
      <c r="AR930" s="803">
        <v>14</v>
      </c>
      <c r="AS930" s="803">
        <v>104</v>
      </c>
      <c r="AT930" s="803">
        <v>155</v>
      </c>
      <c r="AU930" s="803">
        <v>7.95</v>
      </c>
      <c r="AV930" s="803">
        <v>21.9</v>
      </c>
      <c r="AW930" s="803">
        <v>451</v>
      </c>
      <c r="AX930" s="803">
        <v>2580</v>
      </c>
      <c r="AY930" s="803">
        <v>149</v>
      </c>
      <c r="AZ930" s="803">
        <v>3520</v>
      </c>
      <c r="BA930" s="803">
        <v>200</v>
      </c>
      <c r="BB930" s="803">
        <v>1140</v>
      </c>
      <c r="BC930" s="803">
        <v>90.5</v>
      </c>
      <c r="BD930" s="803">
        <v>1740</v>
      </c>
      <c r="BE930" s="803">
        <v>1.3660072898914679</v>
      </c>
      <c r="BF930" s="803">
        <v>322</v>
      </c>
      <c r="BG930" s="803">
        <v>5520</v>
      </c>
      <c r="BH930" s="803">
        <v>5190</v>
      </c>
      <c r="BI930" s="803">
        <v>28200</v>
      </c>
      <c r="BJ930" s="803">
        <v>69</v>
      </c>
      <c r="BK930" s="803">
        <v>753</v>
      </c>
      <c r="BL930" s="807">
        <v>1750</v>
      </c>
    </row>
    <row r="931" spans="35:64" x14ac:dyDescent="0.3">
      <c r="AO931" s="803" t="s">
        <v>1677</v>
      </c>
      <c r="AP931" s="803">
        <v>34</v>
      </c>
      <c r="AQ931" s="803">
        <v>16</v>
      </c>
      <c r="AR931" s="803">
        <v>14</v>
      </c>
      <c r="AS931" s="796">
        <v>92</v>
      </c>
      <c r="AT931" s="796">
        <v>137</v>
      </c>
      <c r="AU931" s="796">
        <v>8.75</v>
      </c>
      <c r="AV931" s="796">
        <v>28.2</v>
      </c>
      <c r="AW931" s="796">
        <v>412</v>
      </c>
      <c r="AX931" s="796">
        <v>2350</v>
      </c>
      <c r="AY931" s="803">
        <v>150</v>
      </c>
      <c r="AZ931" s="803">
        <v>3220</v>
      </c>
      <c r="BA931" s="803">
        <v>179</v>
      </c>
      <c r="BB931" s="803">
        <v>1020</v>
      </c>
      <c r="BC931" s="803">
        <v>89.3</v>
      </c>
      <c r="BD931" s="803">
        <v>1550</v>
      </c>
      <c r="BE931" s="803">
        <v>1.3531529816295329</v>
      </c>
      <c r="BF931" s="803">
        <v>325</v>
      </c>
      <c r="BG931" s="803">
        <v>4060</v>
      </c>
      <c r="BH931" s="803">
        <v>4720</v>
      </c>
      <c r="BI931" s="803">
        <v>28400</v>
      </c>
      <c r="BJ931" s="803">
        <v>62.2</v>
      </c>
      <c r="BK931" s="803">
        <v>678</v>
      </c>
      <c r="BL931" s="807">
        <v>1600</v>
      </c>
    </row>
    <row r="932" spans="35:64" x14ac:dyDescent="0.3">
      <c r="AO932" s="803" t="s">
        <v>1678</v>
      </c>
      <c r="AP932" s="803">
        <v>31</v>
      </c>
      <c r="AQ932" s="803">
        <v>15</v>
      </c>
      <c r="AR932" s="803">
        <v>14</v>
      </c>
      <c r="AY932" s="803">
        <v>151</v>
      </c>
      <c r="AZ932" s="803">
        <v>2870</v>
      </c>
      <c r="BA932" s="803">
        <v>157</v>
      </c>
      <c r="BB932" s="803">
        <v>899</v>
      </c>
      <c r="BC932" s="803">
        <v>89.1</v>
      </c>
      <c r="BD932" s="803">
        <v>1360</v>
      </c>
      <c r="BE932" s="803">
        <v>1.34422427518357</v>
      </c>
      <c r="BF932" s="803">
        <v>328</v>
      </c>
      <c r="BG932" s="803">
        <v>2760</v>
      </c>
      <c r="BH932" s="803">
        <v>4230</v>
      </c>
      <c r="BI932" s="803">
        <v>28700</v>
      </c>
      <c r="BJ932" s="803">
        <v>55.2</v>
      </c>
      <c r="BK932" s="803">
        <v>606</v>
      </c>
      <c r="BL932" s="807">
        <v>1430</v>
      </c>
    </row>
    <row r="933" spans="35:64" x14ac:dyDescent="0.3">
      <c r="AO933" s="796" t="s">
        <v>1679</v>
      </c>
      <c r="AP933" s="796">
        <v>29</v>
      </c>
      <c r="AQ933" s="796">
        <v>14</v>
      </c>
      <c r="AR933" s="796">
        <v>14</v>
      </c>
      <c r="AY933" s="796">
        <v>153</v>
      </c>
      <c r="AZ933" s="796">
        <v>2590</v>
      </c>
      <c r="BA933" s="796">
        <v>143</v>
      </c>
      <c r="BB933" s="796">
        <v>817</v>
      </c>
      <c r="BC933" s="796">
        <v>90.3</v>
      </c>
      <c r="BD933" s="796">
        <v>1240</v>
      </c>
      <c r="BE933" s="796">
        <v>1.3454662295289359</v>
      </c>
      <c r="BF933" s="796">
        <v>330</v>
      </c>
      <c r="BG933" s="796">
        <v>2000</v>
      </c>
      <c r="BH933" s="796">
        <v>3890</v>
      </c>
      <c r="BI933" s="796">
        <v>28900</v>
      </c>
      <c r="BJ933" s="796">
        <v>50.5</v>
      </c>
      <c r="BK933" s="796">
        <v>559</v>
      </c>
      <c r="BL933" s="810">
        <v>1290</v>
      </c>
    </row>
  </sheetData>
  <mergeCells count="55">
    <mergeCell ref="T462:V462"/>
    <mergeCell ref="T461:V461"/>
    <mergeCell ref="T487:V487"/>
    <mergeCell ref="T489:V489"/>
    <mergeCell ref="T490:V490"/>
    <mergeCell ref="AB477:AG477"/>
    <mergeCell ref="AB480:AG480"/>
    <mergeCell ref="T491:V491"/>
    <mergeCell ref="T494:V494"/>
    <mergeCell ref="T483:V483"/>
    <mergeCell ref="T486:V486"/>
    <mergeCell ref="D336:E336"/>
    <mergeCell ref="G246:H246"/>
    <mergeCell ref="C331:E331"/>
    <mergeCell ref="C191:L191"/>
    <mergeCell ref="E446:F446"/>
    <mergeCell ref="B38:E38"/>
    <mergeCell ref="S67:U67"/>
    <mergeCell ref="S74:U74"/>
    <mergeCell ref="H66:I66"/>
    <mergeCell ref="E68:F68"/>
    <mergeCell ref="E66:F66"/>
    <mergeCell ref="E72:F72"/>
    <mergeCell ref="S72:U72"/>
    <mergeCell ref="L69:M69"/>
    <mergeCell ref="S78:U78"/>
    <mergeCell ref="D156:F156"/>
    <mergeCell ref="B124:F124"/>
    <mergeCell ref="H154:I154"/>
    <mergeCell ref="H151:I151"/>
    <mergeCell ref="B127:E127"/>
    <mergeCell ref="B126:E126"/>
    <mergeCell ref="S451:U451"/>
    <mergeCell ref="H446:I446"/>
    <mergeCell ref="E451:F451"/>
    <mergeCell ref="AT165:AW165"/>
    <mergeCell ref="C188:G188"/>
    <mergeCell ref="B187:F187"/>
    <mergeCell ref="C192:H192"/>
    <mergeCell ref="C185:E185"/>
    <mergeCell ref="F350:G350"/>
    <mergeCell ref="K384:L384"/>
    <mergeCell ref="K386:L386"/>
    <mergeCell ref="K388:L388"/>
    <mergeCell ref="D273:E273"/>
    <mergeCell ref="D274:E274"/>
    <mergeCell ref="D275:E275"/>
    <mergeCell ref="C380:E380"/>
    <mergeCell ref="S30:U30"/>
    <mergeCell ref="E19:F19"/>
    <mergeCell ref="E20:F20"/>
    <mergeCell ref="E24:F24"/>
    <mergeCell ref="S25:U25"/>
    <mergeCell ref="E26:F26"/>
    <mergeCell ref="E30:F30"/>
  </mergeCells>
  <dataValidations count="21">
    <dataValidation type="list" allowBlank="1" showInputMessage="1" showErrorMessage="1" sqref="WWD983488:WWE983488 WCL983488:WCM983488 VSP983488:VSQ983488 VIT983488:VIU983488 UYX983488:UYY983488 UPB983488:UPC983488 UFF983488:UFG983488 TVJ983488:TVK983488 TLN983488:TLO983488 TBR983488:TBS983488 SRV983488:SRW983488 SHZ983488:SIA983488 RYD983488:RYE983488 ROH983488:ROI983488 REL983488:REM983488 QUP983488:QUQ983488 QKT983488:QKU983488 QAX983488:QAY983488 PRB983488:PRC983488 PHF983488:PHG983488 OXJ983488:OXK983488 ONN983488:ONO983488 ODR983488:ODS983488 NTV983488:NTW983488 NJZ983488:NKA983488 NAD983488:NAE983488 MQH983488:MQI983488 MGL983488:MGM983488 LWP983488:LWQ983488 LMT983488:LMU983488 LCX983488:LCY983488 KTB983488:KTC983488 KJF983488:KJG983488 JZJ983488:JZK983488 JPN983488:JPO983488 JFR983488:JFS983488 IVV983488:IVW983488 ILZ983488:IMA983488 ICD983488:ICE983488 HSH983488:HSI983488 HIL983488:HIM983488 GYP983488:GYQ983488 GOT983488:GOU983488 GEX983488:GEY983488 FVB983488:FVC983488 FLF983488:FLG983488 FBJ983488:FBK983488 ERN983488:ERO983488 EHR983488:EHS983488 DXV983488:DXW983488 DNZ983488:DOA983488 DED983488:DEE983488 CUH983488:CUI983488 CKL983488:CKM983488 CAP983488:CAQ983488 BQT983488:BQU983488 BGX983488:BGY983488 AXB983488:AXC983488 ANF983488:ANG983488 ADJ983488:ADK983488 TN983488:TO983488 JR983488:JS983488 V983500:W983500 WWD917952:WWE917952 WMH917952:WMI917952 WCL917952:WCM917952 VSP917952:VSQ917952 VIT917952:VIU917952 UYX917952:UYY917952 UPB917952:UPC917952 UFF917952:UFG917952 TVJ917952:TVK917952 TLN917952:TLO917952 TBR917952:TBS917952 SRV917952:SRW917952 SHZ917952:SIA917952 RYD917952:RYE917952 ROH917952:ROI917952 REL917952:REM917952 QUP917952:QUQ917952 QKT917952:QKU917952 QAX917952:QAY917952 PRB917952:PRC917952 PHF917952:PHG917952 OXJ917952:OXK917952 ONN917952:ONO917952 ODR917952:ODS917952 NTV917952:NTW917952 NJZ917952:NKA917952 NAD917952:NAE917952 MQH917952:MQI917952 MGL917952:MGM917952 LWP917952:LWQ917952 LMT917952:LMU917952 LCX917952:LCY917952 KTB917952:KTC917952 KJF917952:KJG917952 JZJ917952:JZK917952 JPN917952:JPO917952 JFR917952:JFS917952 IVV917952:IVW917952 ILZ917952:IMA917952 ICD917952:ICE917952 HSH917952:HSI917952 HIL917952:HIM917952 GYP917952:GYQ917952 GOT917952:GOU917952 GEX917952:GEY917952 FVB917952:FVC917952 FLF917952:FLG917952 FBJ917952:FBK917952 ERN917952:ERO917952 EHR917952:EHS917952 DXV917952:DXW917952 DNZ917952:DOA917952 DED917952:DEE917952 CUH917952:CUI917952 CKL917952:CKM917952 CAP917952:CAQ917952 BQT917952:BQU917952 BGX917952:BGY917952 AXB917952:AXC917952 ANF917952:ANG917952 ADJ917952:ADK917952 TN917952:TO917952 JR917952:JS917952 V917964:W917964 WWD852416:WWE852416 WMH852416:WMI852416 WCL852416:WCM852416 VSP852416:VSQ852416 VIT852416:VIU852416 UYX852416:UYY852416 UPB852416:UPC852416 UFF852416:UFG852416 TVJ852416:TVK852416 TLN852416:TLO852416 TBR852416:TBS852416 SRV852416:SRW852416 SHZ852416:SIA852416 RYD852416:RYE852416 ROH852416:ROI852416 REL852416:REM852416 QUP852416:QUQ852416 QKT852416:QKU852416 QAX852416:QAY852416 PRB852416:PRC852416 PHF852416:PHG852416 OXJ852416:OXK852416 ONN852416:ONO852416 ODR852416:ODS852416 NTV852416:NTW852416 NJZ852416:NKA852416 NAD852416:NAE852416 MQH852416:MQI852416 MGL852416:MGM852416 LWP852416:LWQ852416 LMT852416:LMU852416 LCX852416:LCY852416 KTB852416:KTC852416 KJF852416:KJG852416 JZJ852416:JZK852416 JPN852416:JPO852416 JFR852416:JFS852416 IVV852416:IVW852416 ILZ852416:IMA852416 ICD852416:ICE852416 HSH852416:HSI852416 HIL852416:HIM852416 GYP852416:GYQ852416 GOT852416:GOU852416 GEX852416:GEY852416 FVB852416:FVC852416 FLF852416:FLG852416 FBJ852416:FBK852416 ERN852416:ERO852416 EHR852416:EHS852416 DXV852416:DXW852416 DNZ852416:DOA852416 DED852416:DEE852416 CUH852416:CUI852416 CKL852416:CKM852416 CAP852416:CAQ852416 BQT852416:BQU852416 BGX852416:BGY852416 AXB852416:AXC852416 ANF852416:ANG852416 ADJ852416:ADK852416 TN852416:TO852416 JR852416:JS852416 V852428:W852428 WWD786880:WWE786880 WMH786880:WMI786880 WCL786880:WCM786880 VSP786880:VSQ786880 VIT786880:VIU786880 UYX786880:UYY786880 UPB786880:UPC786880 UFF786880:UFG786880 TVJ786880:TVK786880 TLN786880:TLO786880 TBR786880:TBS786880 SRV786880:SRW786880 SHZ786880:SIA786880 RYD786880:RYE786880 ROH786880:ROI786880 REL786880:REM786880 QUP786880:QUQ786880 QKT786880:QKU786880 QAX786880:QAY786880 PRB786880:PRC786880 PHF786880:PHG786880 OXJ786880:OXK786880 ONN786880:ONO786880 ODR786880:ODS786880 NTV786880:NTW786880 NJZ786880:NKA786880 NAD786880:NAE786880 MQH786880:MQI786880 MGL786880:MGM786880 LWP786880:LWQ786880 LMT786880:LMU786880 LCX786880:LCY786880 KTB786880:KTC786880 KJF786880:KJG786880 JZJ786880:JZK786880 JPN786880:JPO786880 JFR786880:JFS786880 IVV786880:IVW786880 ILZ786880:IMA786880 ICD786880:ICE786880 HSH786880:HSI786880 HIL786880:HIM786880 GYP786880:GYQ786880 GOT786880:GOU786880 GEX786880:GEY786880 FVB786880:FVC786880 FLF786880:FLG786880 FBJ786880:FBK786880 ERN786880:ERO786880 EHR786880:EHS786880 DXV786880:DXW786880 DNZ786880:DOA786880 DED786880:DEE786880 CUH786880:CUI786880 CKL786880:CKM786880 CAP786880:CAQ786880 BQT786880:BQU786880 BGX786880:BGY786880 AXB786880:AXC786880 ANF786880:ANG786880 ADJ786880:ADK786880 TN786880:TO786880 JR786880:JS786880 V786892:W786892 WWD721344:WWE721344 WMH721344:WMI721344 WCL721344:WCM721344 VSP721344:VSQ721344 VIT721344:VIU721344 UYX721344:UYY721344 UPB721344:UPC721344 UFF721344:UFG721344 TVJ721344:TVK721344 TLN721344:TLO721344 TBR721344:TBS721344 SRV721344:SRW721344 SHZ721344:SIA721344 RYD721344:RYE721344 ROH721344:ROI721344 REL721344:REM721344 QUP721344:QUQ721344 QKT721344:QKU721344 QAX721344:QAY721344 PRB721344:PRC721344 PHF721344:PHG721344 OXJ721344:OXK721344 ONN721344:ONO721344 ODR721344:ODS721344 NTV721344:NTW721344 NJZ721344:NKA721344 NAD721344:NAE721344 MQH721344:MQI721344 MGL721344:MGM721344 LWP721344:LWQ721344 LMT721344:LMU721344 LCX721344:LCY721344 KTB721344:KTC721344 KJF721344:KJG721344 JZJ721344:JZK721344 JPN721344:JPO721344 JFR721344:JFS721344 IVV721344:IVW721344 ILZ721344:IMA721344 ICD721344:ICE721344 HSH721344:HSI721344 HIL721344:HIM721344 GYP721344:GYQ721344 GOT721344:GOU721344 GEX721344:GEY721344 FVB721344:FVC721344 FLF721344:FLG721344 FBJ721344:FBK721344 ERN721344:ERO721344 EHR721344:EHS721344 DXV721344:DXW721344 DNZ721344:DOA721344 DED721344:DEE721344 CUH721344:CUI721344 CKL721344:CKM721344 CAP721344:CAQ721344 BQT721344:BQU721344 BGX721344:BGY721344 AXB721344:AXC721344 ANF721344:ANG721344 ADJ721344:ADK721344 TN721344:TO721344 JR721344:JS721344 V721356:W721356 WWD655808:WWE655808 WMH655808:WMI655808 WCL655808:WCM655808 VSP655808:VSQ655808 VIT655808:VIU655808 UYX655808:UYY655808 UPB655808:UPC655808 UFF655808:UFG655808 TVJ655808:TVK655808 TLN655808:TLO655808 TBR655808:TBS655808 SRV655808:SRW655808 SHZ655808:SIA655808 RYD655808:RYE655808 ROH655808:ROI655808 REL655808:REM655808 QUP655808:QUQ655808 QKT655808:QKU655808 QAX655808:QAY655808 PRB655808:PRC655808 PHF655808:PHG655808 OXJ655808:OXK655808 ONN655808:ONO655808 ODR655808:ODS655808 NTV655808:NTW655808 NJZ655808:NKA655808 NAD655808:NAE655808 MQH655808:MQI655808 MGL655808:MGM655808 LWP655808:LWQ655808 LMT655808:LMU655808 LCX655808:LCY655808 KTB655808:KTC655808 KJF655808:KJG655808 JZJ655808:JZK655808 JPN655808:JPO655808 JFR655808:JFS655808 IVV655808:IVW655808 ILZ655808:IMA655808 ICD655808:ICE655808 HSH655808:HSI655808 HIL655808:HIM655808 GYP655808:GYQ655808 GOT655808:GOU655808 GEX655808:GEY655808 FVB655808:FVC655808 FLF655808:FLG655808 FBJ655808:FBK655808 ERN655808:ERO655808 EHR655808:EHS655808 DXV655808:DXW655808 DNZ655808:DOA655808 DED655808:DEE655808 CUH655808:CUI655808 CKL655808:CKM655808 CAP655808:CAQ655808 BQT655808:BQU655808 BGX655808:BGY655808 AXB655808:AXC655808 ANF655808:ANG655808 ADJ655808:ADK655808 TN655808:TO655808 JR655808:JS655808 V655820:W655820 WWD590272:WWE590272 WMH590272:WMI590272 WCL590272:WCM590272 VSP590272:VSQ590272 VIT590272:VIU590272 UYX590272:UYY590272 UPB590272:UPC590272 UFF590272:UFG590272 TVJ590272:TVK590272 TLN590272:TLO590272 TBR590272:TBS590272 SRV590272:SRW590272 SHZ590272:SIA590272 RYD590272:RYE590272 ROH590272:ROI590272 REL590272:REM590272 QUP590272:QUQ590272 QKT590272:QKU590272 QAX590272:QAY590272 PRB590272:PRC590272 PHF590272:PHG590272 OXJ590272:OXK590272 ONN590272:ONO590272 ODR590272:ODS590272 NTV590272:NTW590272 NJZ590272:NKA590272 NAD590272:NAE590272 MQH590272:MQI590272 MGL590272:MGM590272 LWP590272:LWQ590272 LMT590272:LMU590272 LCX590272:LCY590272 KTB590272:KTC590272 KJF590272:KJG590272 JZJ590272:JZK590272 JPN590272:JPO590272 JFR590272:JFS590272 IVV590272:IVW590272 ILZ590272:IMA590272 ICD590272:ICE590272 HSH590272:HSI590272 HIL590272:HIM590272 GYP590272:GYQ590272 GOT590272:GOU590272 GEX590272:GEY590272 FVB590272:FVC590272 FLF590272:FLG590272 FBJ590272:FBK590272 ERN590272:ERO590272 EHR590272:EHS590272 DXV590272:DXW590272 DNZ590272:DOA590272 DED590272:DEE590272 CUH590272:CUI590272 CKL590272:CKM590272 CAP590272:CAQ590272 BQT590272:BQU590272 BGX590272:BGY590272 AXB590272:AXC590272 ANF590272:ANG590272 ADJ590272:ADK590272 TN590272:TO590272 JR590272:JS590272 V590284:W590284 WWD524736:WWE524736 WMH524736:WMI524736 WCL524736:WCM524736 VSP524736:VSQ524736 VIT524736:VIU524736 UYX524736:UYY524736 UPB524736:UPC524736 UFF524736:UFG524736 TVJ524736:TVK524736 TLN524736:TLO524736 TBR524736:TBS524736 SRV524736:SRW524736 SHZ524736:SIA524736 RYD524736:RYE524736 ROH524736:ROI524736 REL524736:REM524736 QUP524736:QUQ524736 QKT524736:QKU524736 QAX524736:QAY524736 PRB524736:PRC524736 PHF524736:PHG524736 OXJ524736:OXK524736 ONN524736:ONO524736 ODR524736:ODS524736 NTV524736:NTW524736 NJZ524736:NKA524736 NAD524736:NAE524736 MQH524736:MQI524736 MGL524736:MGM524736 LWP524736:LWQ524736 LMT524736:LMU524736 LCX524736:LCY524736 KTB524736:KTC524736 KJF524736:KJG524736 JZJ524736:JZK524736 JPN524736:JPO524736 JFR524736:JFS524736 IVV524736:IVW524736 ILZ524736:IMA524736 ICD524736:ICE524736 HSH524736:HSI524736 HIL524736:HIM524736 GYP524736:GYQ524736 GOT524736:GOU524736 GEX524736:GEY524736 FVB524736:FVC524736 FLF524736:FLG524736 FBJ524736:FBK524736 ERN524736:ERO524736 EHR524736:EHS524736 DXV524736:DXW524736 DNZ524736:DOA524736 DED524736:DEE524736 CUH524736:CUI524736 CKL524736:CKM524736 CAP524736:CAQ524736 BQT524736:BQU524736 BGX524736:BGY524736 AXB524736:AXC524736 ANF524736:ANG524736 ADJ524736:ADK524736 TN524736:TO524736 JR524736:JS524736 V524748:W524748 WWD459200:WWE459200 WMH459200:WMI459200 WCL459200:WCM459200 VSP459200:VSQ459200 VIT459200:VIU459200 UYX459200:UYY459200 UPB459200:UPC459200 UFF459200:UFG459200 TVJ459200:TVK459200 TLN459200:TLO459200 TBR459200:TBS459200 SRV459200:SRW459200 SHZ459200:SIA459200 RYD459200:RYE459200 ROH459200:ROI459200 REL459200:REM459200 QUP459200:QUQ459200 QKT459200:QKU459200 QAX459200:QAY459200 PRB459200:PRC459200 PHF459200:PHG459200 OXJ459200:OXK459200 ONN459200:ONO459200 ODR459200:ODS459200 NTV459200:NTW459200 NJZ459200:NKA459200 NAD459200:NAE459200 MQH459200:MQI459200 MGL459200:MGM459200 LWP459200:LWQ459200 LMT459200:LMU459200 LCX459200:LCY459200 KTB459200:KTC459200 KJF459200:KJG459200 JZJ459200:JZK459200 JPN459200:JPO459200 JFR459200:JFS459200 IVV459200:IVW459200 ILZ459200:IMA459200 ICD459200:ICE459200 HSH459200:HSI459200 HIL459200:HIM459200 GYP459200:GYQ459200 GOT459200:GOU459200 GEX459200:GEY459200 FVB459200:FVC459200 FLF459200:FLG459200 FBJ459200:FBK459200 ERN459200:ERO459200 EHR459200:EHS459200 DXV459200:DXW459200 DNZ459200:DOA459200 DED459200:DEE459200 CUH459200:CUI459200 CKL459200:CKM459200 CAP459200:CAQ459200 BQT459200:BQU459200 BGX459200:BGY459200 AXB459200:AXC459200 ANF459200:ANG459200 ADJ459200:ADK459200 TN459200:TO459200 JR459200:JS459200 V459212:W459212 WWD393664:WWE393664 WMH393664:WMI393664 WCL393664:WCM393664 VSP393664:VSQ393664 VIT393664:VIU393664 UYX393664:UYY393664 UPB393664:UPC393664 UFF393664:UFG393664 TVJ393664:TVK393664 TLN393664:TLO393664 TBR393664:TBS393664 SRV393664:SRW393664 SHZ393664:SIA393664 RYD393664:RYE393664 ROH393664:ROI393664 REL393664:REM393664 QUP393664:QUQ393664 QKT393664:QKU393664 QAX393664:QAY393664 PRB393664:PRC393664 PHF393664:PHG393664 OXJ393664:OXK393664 ONN393664:ONO393664 ODR393664:ODS393664 NTV393664:NTW393664 NJZ393664:NKA393664 NAD393664:NAE393664 MQH393664:MQI393664 MGL393664:MGM393664 LWP393664:LWQ393664 LMT393664:LMU393664 LCX393664:LCY393664 KTB393664:KTC393664 KJF393664:KJG393664 JZJ393664:JZK393664 JPN393664:JPO393664 JFR393664:JFS393664 IVV393664:IVW393664 ILZ393664:IMA393664 ICD393664:ICE393664 HSH393664:HSI393664 HIL393664:HIM393664 GYP393664:GYQ393664 GOT393664:GOU393664 GEX393664:GEY393664 FVB393664:FVC393664 FLF393664:FLG393664 FBJ393664:FBK393664 ERN393664:ERO393664 EHR393664:EHS393664 DXV393664:DXW393664 DNZ393664:DOA393664 DED393664:DEE393664 CUH393664:CUI393664 CKL393664:CKM393664 CAP393664:CAQ393664 BQT393664:BQU393664 BGX393664:BGY393664 AXB393664:AXC393664 ANF393664:ANG393664 ADJ393664:ADK393664 TN393664:TO393664 JR393664:JS393664 V393676:W393676 WWD328128:WWE328128 WMH328128:WMI328128 WCL328128:WCM328128 VSP328128:VSQ328128 VIT328128:VIU328128 UYX328128:UYY328128 UPB328128:UPC328128 UFF328128:UFG328128 TVJ328128:TVK328128 TLN328128:TLO328128 TBR328128:TBS328128 SRV328128:SRW328128 SHZ328128:SIA328128 RYD328128:RYE328128 ROH328128:ROI328128 REL328128:REM328128 QUP328128:QUQ328128 QKT328128:QKU328128 QAX328128:QAY328128 PRB328128:PRC328128 PHF328128:PHG328128 OXJ328128:OXK328128 ONN328128:ONO328128 ODR328128:ODS328128 NTV328128:NTW328128 NJZ328128:NKA328128 NAD328128:NAE328128 MQH328128:MQI328128 MGL328128:MGM328128 LWP328128:LWQ328128 LMT328128:LMU328128 LCX328128:LCY328128 KTB328128:KTC328128 KJF328128:KJG328128 JZJ328128:JZK328128 JPN328128:JPO328128 JFR328128:JFS328128 IVV328128:IVW328128 ILZ328128:IMA328128 ICD328128:ICE328128 HSH328128:HSI328128 HIL328128:HIM328128 GYP328128:GYQ328128 GOT328128:GOU328128 GEX328128:GEY328128 FVB328128:FVC328128 FLF328128:FLG328128 FBJ328128:FBK328128 ERN328128:ERO328128 EHR328128:EHS328128 DXV328128:DXW328128 DNZ328128:DOA328128 DED328128:DEE328128 CUH328128:CUI328128 CKL328128:CKM328128 CAP328128:CAQ328128 BQT328128:BQU328128 BGX328128:BGY328128 AXB328128:AXC328128 ANF328128:ANG328128 ADJ328128:ADK328128 TN328128:TO328128 JR328128:JS328128 V328140:W328140 WWD262592:WWE262592 WMH262592:WMI262592 WCL262592:WCM262592 VSP262592:VSQ262592 VIT262592:VIU262592 UYX262592:UYY262592 UPB262592:UPC262592 UFF262592:UFG262592 TVJ262592:TVK262592 TLN262592:TLO262592 TBR262592:TBS262592 SRV262592:SRW262592 SHZ262592:SIA262592 RYD262592:RYE262592 ROH262592:ROI262592 REL262592:REM262592 QUP262592:QUQ262592 QKT262592:QKU262592 QAX262592:QAY262592 PRB262592:PRC262592 PHF262592:PHG262592 OXJ262592:OXK262592 ONN262592:ONO262592 ODR262592:ODS262592 NTV262592:NTW262592 NJZ262592:NKA262592 NAD262592:NAE262592 MQH262592:MQI262592 MGL262592:MGM262592 LWP262592:LWQ262592 LMT262592:LMU262592 LCX262592:LCY262592 KTB262592:KTC262592 KJF262592:KJG262592 JZJ262592:JZK262592 JPN262592:JPO262592 JFR262592:JFS262592 IVV262592:IVW262592 ILZ262592:IMA262592 ICD262592:ICE262592 HSH262592:HSI262592 HIL262592:HIM262592 GYP262592:GYQ262592 GOT262592:GOU262592 GEX262592:GEY262592 FVB262592:FVC262592 FLF262592:FLG262592 FBJ262592:FBK262592 ERN262592:ERO262592 EHR262592:EHS262592 DXV262592:DXW262592 DNZ262592:DOA262592 DED262592:DEE262592 CUH262592:CUI262592 CKL262592:CKM262592 CAP262592:CAQ262592 BQT262592:BQU262592 BGX262592:BGY262592 AXB262592:AXC262592 ANF262592:ANG262592 ADJ262592:ADK262592 TN262592:TO262592 JR262592:JS262592 V262604:W262604 WWD197056:WWE197056 WMH197056:WMI197056 WCL197056:WCM197056 VSP197056:VSQ197056 VIT197056:VIU197056 UYX197056:UYY197056 UPB197056:UPC197056 UFF197056:UFG197056 TVJ197056:TVK197056 TLN197056:TLO197056 TBR197056:TBS197056 SRV197056:SRW197056 SHZ197056:SIA197056 RYD197056:RYE197056 ROH197056:ROI197056 REL197056:REM197056 QUP197056:QUQ197056 QKT197056:QKU197056 QAX197056:QAY197056 PRB197056:PRC197056 PHF197056:PHG197056 OXJ197056:OXK197056 ONN197056:ONO197056 ODR197056:ODS197056 NTV197056:NTW197056 NJZ197056:NKA197056 NAD197056:NAE197056 MQH197056:MQI197056 MGL197056:MGM197056 LWP197056:LWQ197056 LMT197056:LMU197056 LCX197056:LCY197056 KTB197056:KTC197056 KJF197056:KJG197056 JZJ197056:JZK197056 JPN197056:JPO197056 JFR197056:JFS197056 IVV197056:IVW197056 ILZ197056:IMA197056 ICD197056:ICE197056 HSH197056:HSI197056 HIL197056:HIM197056 GYP197056:GYQ197056 GOT197056:GOU197056 GEX197056:GEY197056 FVB197056:FVC197056 FLF197056:FLG197056 FBJ197056:FBK197056 ERN197056:ERO197056 EHR197056:EHS197056 DXV197056:DXW197056 DNZ197056:DOA197056 DED197056:DEE197056 CUH197056:CUI197056 CKL197056:CKM197056 CAP197056:CAQ197056 BQT197056:BQU197056 BGX197056:BGY197056 AXB197056:AXC197056 ANF197056:ANG197056 ADJ197056:ADK197056 TN197056:TO197056 JR197056:JS197056 V197068:W197068 WWD131520:WWE131520 WMH131520:WMI131520 WCL131520:WCM131520 VSP131520:VSQ131520 VIT131520:VIU131520 UYX131520:UYY131520 UPB131520:UPC131520 UFF131520:UFG131520 TVJ131520:TVK131520 TLN131520:TLO131520 TBR131520:TBS131520 SRV131520:SRW131520 SHZ131520:SIA131520 RYD131520:RYE131520 ROH131520:ROI131520 REL131520:REM131520 QUP131520:QUQ131520 QKT131520:QKU131520 QAX131520:QAY131520 PRB131520:PRC131520 PHF131520:PHG131520 OXJ131520:OXK131520 ONN131520:ONO131520 ODR131520:ODS131520 NTV131520:NTW131520 NJZ131520:NKA131520 NAD131520:NAE131520 MQH131520:MQI131520 MGL131520:MGM131520 LWP131520:LWQ131520 LMT131520:LMU131520 LCX131520:LCY131520 KTB131520:KTC131520 KJF131520:KJG131520 JZJ131520:JZK131520 JPN131520:JPO131520 JFR131520:JFS131520 IVV131520:IVW131520 ILZ131520:IMA131520 ICD131520:ICE131520 HSH131520:HSI131520 HIL131520:HIM131520 GYP131520:GYQ131520 GOT131520:GOU131520 GEX131520:GEY131520 FVB131520:FVC131520 FLF131520:FLG131520 FBJ131520:FBK131520 ERN131520:ERO131520 EHR131520:EHS131520 DXV131520:DXW131520 DNZ131520:DOA131520 DED131520:DEE131520 CUH131520:CUI131520 CKL131520:CKM131520 CAP131520:CAQ131520 BQT131520:BQU131520 BGX131520:BGY131520 AXB131520:AXC131520 ANF131520:ANG131520 ADJ131520:ADK131520 TN131520:TO131520 JR131520:JS131520 V131532:W131532 WWD65984:WWE65984 WMH65984:WMI65984 WCL65984:WCM65984 VSP65984:VSQ65984 VIT65984:VIU65984 UYX65984:UYY65984 UPB65984:UPC65984 UFF65984:UFG65984 TVJ65984:TVK65984 TLN65984:TLO65984 TBR65984:TBS65984 SRV65984:SRW65984 SHZ65984:SIA65984 RYD65984:RYE65984 ROH65984:ROI65984 REL65984:REM65984 QUP65984:QUQ65984 QKT65984:QKU65984 QAX65984:QAY65984 PRB65984:PRC65984 PHF65984:PHG65984 OXJ65984:OXK65984 ONN65984:ONO65984 ODR65984:ODS65984 NTV65984:NTW65984 NJZ65984:NKA65984 NAD65984:NAE65984 MQH65984:MQI65984 MGL65984:MGM65984 LWP65984:LWQ65984 LMT65984:LMU65984 LCX65984:LCY65984 KTB65984:KTC65984 KJF65984:KJG65984 JZJ65984:JZK65984 JPN65984:JPO65984 JFR65984:JFS65984 IVV65984:IVW65984 ILZ65984:IMA65984 ICD65984:ICE65984 HSH65984:HSI65984 HIL65984:HIM65984 GYP65984:GYQ65984 GOT65984:GOU65984 GEX65984:GEY65984 FVB65984:FVC65984 FLF65984:FLG65984 FBJ65984:FBK65984 ERN65984:ERO65984 EHR65984:EHS65984 DXV65984:DXW65984 DNZ65984:DOA65984 DED65984:DEE65984 CUH65984:CUI65984 CKL65984:CKM65984 CAP65984:CAQ65984 BQT65984:BQU65984 BGX65984:BGY65984 AXB65984:AXC65984 ANF65984:ANG65984 ADJ65984:ADK65984 TN65984:TO65984 JR65984:JS65984 V65996:W65996 WWD484:WWE484 WMH484:WMI484 WCL484:WCM484 VSP484:VSQ484 VIT484:VIU484 UYX484:UYY484 UPB484:UPC484 UFF484:UFG484 TVJ484:TVK484 TLN484:TLO484 TBR484:TBS484 SRV484:SRW484 SHZ484:SIA484 RYD484:RYE484 ROH484:ROI484 REL484:REM484 QUP484:QUQ484 QKT484:QKU484 QAX484:QAY484 PRB484:PRC484 PHF484:PHG484 OXJ484:OXK484 ONN484:ONO484 ODR484:ODS484 NTV484:NTW484 NJZ484:NKA484 NAD484:NAE484 MQH484:MQI484 MGL484:MGM484 LWP484:LWQ484 LMT484:LMU484 LCX484:LCY484 KTB484:KTC484 KJF484:KJG484 JZJ484:JZK484 JPN484:JPO484 JFR484:JFS484 IVV484:IVW484 ILZ484:IMA484 ICD484:ICE484 HSH484:HSI484 HIL484:HIM484 GYP484:GYQ484 GOT484:GOU484 GEX484:GEY484 FVB484:FVC484 FLF484:FLG484 FBJ484:FBK484 ERN484:ERO484 EHR484:EHS484 DXV484:DXW484 DNZ484:DOA484 DED484:DEE484 CUH484:CUI484 CKL484:CKM484 CAP484:CAQ484 BQT484:BQU484 BGX484:BGY484 AXB484:AXC484 ANF484:ANG484 ADJ484:ADK484 TN484:TO484 JR484:JS484 WWD983416:WWE983416 WMH983416:WMI983416 WCL983416:WCM983416 VSP983416:VSQ983416 VIT983416:VIU983416 UYX983416:UYY983416 UPB983416:UPC983416 UFF983416:UFG983416 TVJ983416:TVK983416 TLN983416:TLO983416 TBR983416:TBS983416 SRV983416:SRW983416 SHZ983416:SIA983416 RYD983416:RYE983416 ROH983416:ROI983416 REL983416:REM983416 QUP983416:QUQ983416 QKT983416:QKU983416 QAX983416:QAY983416 PRB983416:PRC983416 PHF983416:PHG983416 OXJ983416:OXK983416 ONN983416:ONO983416 ODR983416:ODS983416 NTV983416:NTW983416 NJZ983416:NKA983416 NAD983416:NAE983416 MQH983416:MQI983416 MGL983416:MGM983416 LWP983416:LWQ983416 LMT983416:LMU983416 LCX983416:LCY983416 KTB983416:KTC983416 KJF983416:KJG983416 JZJ983416:JZK983416 JPN983416:JPO983416 JFR983416:JFS983416 IVV983416:IVW983416 ILZ983416:IMA983416 ICD983416:ICE983416 HSH983416:HSI983416 HIL983416:HIM983416 GYP983416:GYQ983416 GOT983416:GOU983416 GEX983416:GEY983416 FVB983416:FVC983416 FLF983416:FLG983416 FBJ983416:FBK983416 ERN983416:ERO983416 EHR983416:EHS983416 DXV983416:DXW983416 DNZ983416:DOA983416 DED983416:DEE983416 CUH983416:CUI983416 CKL983416:CKM983416 CAP983416:CAQ983416 BQT983416:BQU983416 BGX983416:BGY983416 AXB983416:AXC983416 ANF983416:ANG983416 ADJ983416:ADK983416 TN983416:TO983416 JR983416:JS983416 V983428:W983428 WWD917880:WWE917880 WMH917880:WMI917880 WCL917880:WCM917880 VSP917880:VSQ917880 VIT917880:VIU917880 UYX917880:UYY917880 UPB917880:UPC917880 UFF917880:UFG917880 TVJ917880:TVK917880 TLN917880:TLO917880 TBR917880:TBS917880 SRV917880:SRW917880 SHZ917880:SIA917880 RYD917880:RYE917880 ROH917880:ROI917880 REL917880:REM917880 QUP917880:QUQ917880 QKT917880:QKU917880 QAX917880:QAY917880 PRB917880:PRC917880 PHF917880:PHG917880 OXJ917880:OXK917880 ONN917880:ONO917880 ODR917880:ODS917880 NTV917880:NTW917880 NJZ917880:NKA917880 NAD917880:NAE917880 MQH917880:MQI917880 MGL917880:MGM917880 LWP917880:LWQ917880 LMT917880:LMU917880 LCX917880:LCY917880 KTB917880:KTC917880 KJF917880:KJG917880 JZJ917880:JZK917880 JPN917880:JPO917880 JFR917880:JFS917880 IVV917880:IVW917880 ILZ917880:IMA917880 ICD917880:ICE917880 HSH917880:HSI917880 HIL917880:HIM917880 GYP917880:GYQ917880 GOT917880:GOU917880 GEX917880:GEY917880 FVB917880:FVC917880 FLF917880:FLG917880 FBJ917880:FBK917880 ERN917880:ERO917880 EHR917880:EHS917880 DXV917880:DXW917880 DNZ917880:DOA917880 DED917880:DEE917880 CUH917880:CUI917880 CKL917880:CKM917880 CAP917880:CAQ917880 BQT917880:BQU917880 BGX917880:BGY917880 AXB917880:AXC917880 ANF917880:ANG917880 ADJ917880:ADK917880 TN917880:TO917880 JR917880:JS917880 V917892:W917892 WWD852344:WWE852344 WMH852344:WMI852344 WCL852344:WCM852344 VSP852344:VSQ852344 VIT852344:VIU852344 UYX852344:UYY852344 UPB852344:UPC852344 UFF852344:UFG852344 TVJ852344:TVK852344 TLN852344:TLO852344 TBR852344:TBS852344 SRV852344:SRW852344 SHZ852344:SIA852344 RYD852344:RYE852344 ROH852344:ROI852344 REL852344:REM852344 QUP852344:QUQ852344 QKT852344:QKU852344 QAX852344:QAY852344 PRB852344:PRC852344 PHF852344:PHG852344 OXJ852344:OXK852344 ONN852344:ONO852344 ODR852344:ODS852344 NTV852344:NTW852344 NJZ852344:NKA852344 NAD852344:NAE852344 MQH852344:MQI852344 MGL852344:MGM852344 LWP852344:LWQ852344 LMT852344:LMU852344 LCX852344:LCY852344 KTB852344:KTC852344 KJF852344:KJG852344 JZJ852344:JZK852344 JPN852344:JPO852344 JFR852344:JFS852344 IVV852344:IVW852344 ILZ852344:IMA852344 ICD852344:ICE852344 HSH852344:HSI852344 HIL852344:HIM852344 GYP852344:GYQ852344 GOT852344:GOU852344 GEX852344:GEY852344 FVB852344:FVC852344 FLF852344:FLG852344 FBJ852344:FBK852344 ERN852344:ERO852344 EHR852344:EHS852344 DXV852344:DXW852344 DNZ852344:DOA852344 DED852344:DEE852344 CUH852344:CUI852344 CKL852344:CKM852344 CAP852344:CAQ852344 BQT852344:BQU852344 BGX852344:BGY852344 AXB852344:AXC852344 ANF852344:ANG852344 ADJ852344:ADK852344 TN852344:TO852344 JR852344:JS852344 V852356:W852356 WWD786808:WWE786808 WMH786808:WMI786808 WCL786808:WCM786808 VSP786808:VSQ786808 VIT786808:VIU786808 UYX786808:UYY786808 UPB786808:UPC786808 UFF786808:UFG786808 TVJ786808:TVK786808 TLN786808:TLO786808 TBR786808:TBS786808 SRV786808:SRW786808 SHZ786808:SIA786808 RYD786808:RYE786808 ROH786808:ROI786808 REL786808:REM786808 QUP786808:QUQ786808 QKT786808:QKU786808 QAX786808:QAY786808 PRB786808:PRC786808 PHF786808:PHG786808 OXJ786808:OXK786808 ONN786808:ONO786808 ODR786808:ODS786808 NTV786808:NTW786808 NJZ786808:NKA786808 NAD786808:NAE786808 MQH786808:MQI786808 MGL786808:MGM786808 LWP786808:LWQ786808 LMT786808:LMU786808 LCX786808:LCY786808 KTB786808:KTC786808 KJF786808:KJG786808 JZJ786808:JZK786808 JPN786808:JPO786808 JFR786808:JFS786808 IVV786808:IVW786808 ILZ786808:IMA786808 ICD786808:ICE786808 HSH786808:HSI786808 HIL786808:HIM786808 GYP786808:GYQ786808 GOT786808:GOU786808 GEX786808:GEY786808 FVB786808:FVC786808 FLF786808:FLG786808 FBJ786808:FBK786808 ERN786808:ERO786808 EHR786808:EHS786808 DXV786808:DXW786808 DNZ786808:DOA786808 DED786808:DEE786808 CUH786808:CUI786808 CKL786808:CKM786808 CAP786808:CAQ786808 BQT786808:BQU786808 BGX786808:BGY786808 AXB786808:AXC786808 ANF786808:ANG786808 ADJ786808:ADK786808 TN786808:TO786808 JR786808:JS786808 V786820:W786820 WWD721272:WWE721272 WMH721272:WMI721272 WCL721272:WCM721272 VSP721272:VSQ721272 VIT721272:VIU721272 UYX721272:UYY721272 UPB721272:UPC721272 UFF721272:UFG721272 TVJ721272:TVK721272 TLN721272:TLO721272 TBR721272:TBS721272 SRV721272:SRW721272 SHZ721272:SIA721272 RYD721272:RYE721272 ROH721272:ROI721272 REL721272:REM721272 QUP721272:QUQ721272 QKT721272:QKU721272 QAX721272:QAY721272 PRB721272:PRC721272 PHF721272:PHG721272 OXJ721272:OXK721272 ONN721272:ONO721272 ODR721272:ODS721272 NTV721272:NTW721272 NJZ721272:NKA721272 NAD721272:NAE721272 MQH721272:MQI721272 MGL721272:MGM721272 LWP721272:LWQ721272 LMT721272:LMU721272 LCX721272:LCY721272 KTB721272:KTC721272 KJF721272:KJG721272 JZJ721272:JZK721272 JPN721272:JPO721272 JFR721272:JFS721272 IVV721272:IVW721272 ILZ721272:IMA721272 ICD721272:ICE721272 HSH721272:HSI721272 HIL721272:HIM721272 GYP721272:GYQ721272 GOT721272:GOU721272 GEX721272:GEY721272 FVB721272:FVC721272 FLF721272:FLG721272 FBJ721272:FBK721272 ERN721272:ERO721272 EHR721272:EHS721272 DXV721272:DXW721272 DNZ721272:DOA721272 DED721272:DEE721272 CUH721272:CUI721272 CKL721272:CKM721272 CAP721272:CAQ721272 BQT721272:BQU721272 BGX721272:BGY721272 AXB721272:AXC721272 ANF721272:ANG721272 ADJ721272:ADK721272 TN721272:TO721272 JR721272:JS721272 V721284:W721284 WWD655736:WWE655736 WMH655736:WMI655736 WCL655736:WCM655736 VSP655736:VSQ655736 VIT655736:VIU655736 UYX655736:UYY655736 UPB655736:UPC655736 UFF655736:UFG655736 TVJ655736:TVK655736 TLN655736:TLO655736 TBR655736:TBS655736 SRV655736:SRW655736 SHZ655736:SIA655736 RYD655736:RYE655736 ROH655736:ROI655736 REL655736:REM655736 QUP655736:QUQ655736 QKT655736:QKU655736 QAX655736:QAY655736 PRB655736:PRC655736 PHF655736:PHG655736 OXJ655736:OXK655736 ONN655736:ONO655736 ODR655736:ODS655736 NTV655736:NTW655736 NJZ655736:NKA655736 NAD655736:NAE655736 MQH655736:MQI655736 MGL655736:MGM655736 LWP655736:LWQ655736 LMT655736:LMU655736 LCX655736:LCY655736 KTB655736:KTC655736 KJF655736:KJG655736 JZJ655736:JZK655736 JPN655736:JPO655736 JFR655736:JFS655736 IVV655736:IVW655736 ILZ655736:IMA655736 ICD655736:ICE655736 HSH655736:HSI655736 HIL655736:HIM655736 GYP655736:GYQ655736 GOT655736:GOU655736 GEX655736:GEY655736 FVB655736:FVC655736 FLF655736:FLG655736 FBJ655736:FBK655736 ERN655736:ERO655736 EHR655736:EHS655736 DXV655736:DXW655736 DNZ655736:DOA655736 DED655736:DEE655736 CUH655736:CUI655736 CKL655736:CKM655736 CAP655736:CAQ655736 BQT655736:BQU655736 BGX655736:BGY655736 AXB655736:AXC655736 ANF655736:ANG655736 ADJ655736:ADK655736 TN655736:TO655736 JR655736:JS655736 V655748:W655748 WWD590200:WWE590200 WMH590200:WMI590200 WCL590200:WCM590200 VSP590200:VSQ590200 VIT590200:VIU590200 UYX590200:UYY590200 UPB590200:UPC590200 UFF590200:UFG590200 TVJ590200:TVK590200 TLN590200:TLO590200 TBR590200:TBS590200 SRV590200:SRW590200 SHZ590200:SIA590200 RYD590200:RYE590200 ROH590200:ROI590200 REL590200:REM590200 QUP590200:QUQ590200 QKT590200:QKU590200 QAX590200:QAY590200 PRB590200:PRC590200 PHF590200:PHG590200 OXJ590200:OXK590200 ONN590200:ONO590200 ODR590200:ODS590200 NTV590200:NTW590200 NJZ590200:NKA590200 NAD590200:NAE590200 MQH590200:MQI590200 MGL590200:MGM590200 LWP590200:LWQ590200 LMT590200:LMU590200 LCX590200:LCY590200 KTB590200:KTC590200 KJF590200:KJG590200 JZJ590200:JZK590200 JPN590200:JPO590200 JFR590200:JFS590200 IVV590200:IVW590200 ILZ590200:IMA590200 ICD590200:ICE590200 HSH590200:HSI590200 HIL590200:HIM590200 GYP590200:GYQ590200 GOT590200:GOU590200 GEX590200:GEY590200 FVB590200:FVC590200 FLF590200:FLG590200 FBJ590200:FBK590200 ERN590200:ERO590200 EHR590200:EHS590200 DXV590200:DXW590200 DNZ590200:DOA590200 DED590200:DEE590200 CUH590200:CUI590200 CKL590200:CKM590200 CAP590200:CAQ590200 BQT590200:BQU590200 BGX590200:BGY590200 AXB590200:AXC590200 ANF590200:ANG590200 ADJ590200:ADK590200 TN590200:TO590200 JR590200:JS590200 V590212:W590212 WWD524664:WWE524664 WMH524664:WMI524664 WCL524664:WCM524664 VSP524664:VSQ524664 VIT524664:VIU524664 UYX524664:UYY524664 UPB524664:UPC524664 UFF524664:UFG524664 TVJ524664:TVK524664 TLN524664:TLO524664 TBR524664:TBS524664 SRV524664:SRW524664 SHZ524664:SIA524664 RYD524664:RYE524664 ROH524664:ROI524664 REL524664:REM524664 QUP524664:QUQ524664 QKT524664:QKU524664 QAX524664:QAY524664 PRB524664:PRC524664 PHF524664:PHG524664 OXJ524664:OXK524664 ONN524664:ONO524664 ODR524664:ODS524664 NTV524664:NTW524664 NJZ524664:NKA524664 NAD524664:NAE524664 MQH524664:MQI524664 MGL524664:MGM524664 LWP524664:LWQ524664 LMT524664:LMU524664 LCX524664:LCY524664 KTB524664:KTC524664 KJF524664:KJG524664 JZJ524664:JZK524664 JPN524664:JPO524664 JFR524664:JFS524664 IVV524664:IVW524664 ILZ524664:IMA524664 ICD524664:ICE524664 HSH524664:HSI524664 HIL524664:HIM524664 GYP524664:GYQ524664 GOT524664:GOU524664 GEX524664:GEY524664 FVB524664:FVC524664 FLF524664:FLG524664 FBJ524664:FBK524664 ERN524664:ERO524664 EHR524664:EHS524664 DXV524664:DXW524664 DNZ524664:DOA524664 DED524664:DEE524664 CUH524664:CUI524664 CKL524664:CKM524664 CAP524664:CAQ524664 BQT524664:BQU524664 BGX524664:BGY524664 AXB524664:AXC524664 ANF524664:ANG524664 ADJ524664:ADK524664 TN524664:TO524664 JR524664:JS524664 V524676:W524676 WWD459128:WWE459128 WMH459128:WMI459128 WCL459128:WCM459128 VSP459128:VSQ459128 VIT459128:VIU459128 UYX459128:UYY459128 UPB459128:UPC459128 UFF459128:UFG459128 TVJ459128:TVK459128 TLN459128:TLO459128 TBR459128:TBS459128 SRV459128:SRW459128 SHZ459128:SIA459128 RYD459128:RYE459128 ROH459128:ROI459128 REL459128:REM459128 QUP459128:QUQ459128 QKT459128:QKU459128 QAX459128:QAY459128 PRB459128:PRC459128 PHF459128:PHG459128 OXJ459128:OXK459128 ONN459128:ONO459128 ODR459128:ODS459128 NTV459128:NTW459128 NJZ459128:NKA459128 NAD459128:NAE459128 MQH459128:MQI459128 MGL459128:MGM459128 LWP459128:LWQ459128 LMT459128:LMU459128 LCX459128:LCY459128 KTB459128:KTC459128 KJF459128:KJG459128 JZJ459128:JZK459128 JPN459128:JPO459128 JFR459128:JFS459128 IVV459128:IVW459128 ILZ459128:IMA459128 ICD459128:ICE459128 HSH459128:HSI459128 HIL459128:HIM459128 GYP459128:GYQ459128 GOT459128:GOU459128 GEX459128:GEY459128 FVB459128:FVC459128 FLF459128:FLG459128 FBJ459128:FBK459128 ERN459128:ERO459128 EHR459128:EHS459128 DXV459128:DXW459128 DNZ459128:DOA459128 DED459128:DEE459128 CUH459128:CUI459128 CKL459128:CKM459128 CAP459128:CAQ459128 BQT459128:BQU459128 BGX459128:BGY459128 AXB459128:AXC459128 ANF459128:ANG459128 ADJ459128:ADK459128 TN459128:TO459128 JR459128:JS459128 V459140:W459140 WWD393592:WWE393592 WMH393592:WMI393592 WCL393592:WCM393592 VSP393592:VSQ393592 VIT393592:VIU393592 UYX393592:UYY393592 UPB393592:UPC393592 UFF393592:UFG393592 TVJ393592:TVK393592 TLN393592:TLO393592 TBR393592:TBS393592 SRV393592:SRW393592 SHZ393592:SIA393592 RYD393592:RYE393592 ROH393592:ROI393592 REL393592:REM393592 QUP393592:QUQ393592 QKT393592:QKU393592 QAX393592:QAY393592 PRB393592:PRC393592 PHF393592:PHG393592 OXJ393592:OXK393592 ONN393592:ONO393592 ODR393592:ODS393592 NTV393592:NTW393592 NJZ393592:NKA393592 NAD393592:NAE393592 MQH393592:MQI393592 MGL393592:MGM393592 LWP393592:LWQ393592 LMT393592:LMU393592 LCX393592:LCY393592 KTB393592:KTC393592 KJF393592:KJG393592 JZJ393592:JZK393592 JPN393592:JPO393592 JFR393592:JFS393592 IVV393592:IVW393592 ILZ393592:IMA393592 ICD393592:ICE393592 HSH393592:HSI393592 HIL393592:HIM393592 GYP393592:GYQ393592 GOT393592:GOU393592 GEX393592:GEY393592 FVB393592:FVC393592 FLF393592:FLG393592 FBJ393592:FBK393592 ERN393592:ERO393592 EHR393592:EHS393592 DXV393592:DXW393592 DNZ393592:DOA393592 DED393592:DEE393592 CUH393592:CUI393592 CKL393592:CKM393592 CAP393592:CAQ393592 BQT393592:BQU393592 BGX393592:BGY393592 AXB393592:AXC393592 ANF393592:ANG393592 ADJ393592:ADK393592 TN393592:TO393592 JR393592:JS393592 V393604:W393604 WWD328056:WWE328056 WMH328056:WMI328056 WCL328056:WCM328056 VSP328056:VSQ328056 VIT328056:VIU328056 UYX328056:UYY328056 UPB328056:UPC328056 UFF328056:UFG328056 TVJ328056:TVK328056 TLN328056:TLO328056 TBR328056:TBS328056 SRV328056:SRW328056 SHZ328056:SIA328056 RYD328056:RYE328056 ROH328056:ROI328056 REL328056:REM328056 QUP328056:QUQ328056 QKT328056:QKU328056 QAX328056:QAY328056 PRB328056:PRC328056 PHF328056:PHG328056 OXJ328056:OXK328056 ONN328056:ONO328056 ODR328056:ODS328056 NTV328056:NTW328056 NJZ328056:NKA328056 NAD328056:NAE328056 MQH328056:MQI328056 MGL328056:MGM328056 LWP328056:LWQ328056 LMT328056:LMU328056 LCX328056:LCY328056 KTB328056:KTC328056 KJF328056:KJG328056 JZJ328056:JZK328056 JPN328056:JPO328056 JFR328056:JFS328056 IVV328056:IVW328056 ILZ328056:IMA328056 ICD328056:ICE328056 HSH328056:HSI328056 HIL328056:HIM328056 GYP328056:GYQ328056 GOT328056:GOU328056 GEX328056:GEY328056 FVB328056:FVC328056 FLF328056:FLG328056 FBJ328056:FBK328056 ERN328056:ERO328056 EHR328056:EHS328056 DXV328056:DXW328056 DNZ328056:DOA328056 DED328056:DEE328056 CUH328056:CUI328056 CKL328056:CKM328056 CAP328056:CAQ328056 BQT328056:BQU328056 BGX328056:BGY328056 AXB328056:AXC328056 ANF328056:ANG328056 ADJ328056:ADK328056 TN328056:TO328056 JR328056:JS328056 V328068:W328068 WWD262520:WWE262520 WMH262520:WMI262520 WCL262520:WCM262520 VSP262520:VSQ262520 VIT262520:VIU262520 UYX262520:UYY262520 UPB262520:UPC262520 UFF262520:UFG262520 TVJ262520:TVK262520 TLN262520:TLO262520 TBR262520:TBS262520 SRV262520:SRW262520 SHZ262520:SIA262520 RYD262520:RYE262520 ROH262520:ROI262520 REL262520:REM262520 QUP262520:QUQ262520 QKT262520:QKU262520 QAX262520:QAY262520 PRB262520:PRC262520 PHF262520:PHG262520 OXJ262520:OXK262520 ONN262520:ONO262520 ODR262520:ODS262520 NTV262520:NTW262520 NJZ262520:NKA262520 NAD262520:NAE262520 MQH262520:MQI262520 MGL262520:MGM262520 LWP262520:LWQ262520 LMT262520:LMU262520 LCX262520:LCY262520 KTB262520:KTC262520 KJF262520:KJG262520 JZJ262520:JZK262520 JPN262520:JPO262520 JFR262520:JFS262520 IVV262520:IVW262520 ILZ262520:IMA262520 ICD262520:ICE262520 HSH262520:HSI262520 HIL262520:HIM262520 GYP262520:GYQ262520 GOT262520:GOU262520 GEX262520:GEY262520 FVB262520:FVC262520 FLF262520:FLG262520 FBJ262520:FBK262520 ERN262520:ERO262520 EHR262520:EHS262520 DXV262520:DXW262520 DNZ262520:DOA262520 DED262520:DEE262520 CUH262520:CUI262520 CKL262520:CKM262520 CAP262520:CAQ262520 BQT262520:BQU262520 BGX262520:BGY262520 AXB262520:AXC262520 ANF262520:ANG262520 ADJ262520:ADK262520 TN262520:TO262520 JR262520:JS262520 V262532:W262532 WWD196984:WWE196984 WMH196984:WMI196984 WCL196984:WCM196984 VSP196984:VSQ196984 VIT196984:VIU196984 UYX196984:UYY196984 UPB196984:UPC196984 UFF196984:UFG196984 TVJ196984:TVK196984 TLN196984:TLO196984 TBR196984:TBS196984 SRV196984:SRW196984 SHZ196984:SIA196984 RYD196984:RYE196984 ROH196984:ROI196984 REL196984:REM196984 QUP196984:QUQ196984 QKT196984:QKU196984 QAX196984:QAY196984 PRB196984:PRC196984 PHF196984:PHG196984 OXJ196984:OXK196984 ONN196984:ONO196984 ODR196984:ODS196984 NTV196984:NTW196984 NJZ196984:NKA196984 NAD196984:NAE196984 MQH196984:MQI196984 MGL196984:MGM196984 LWP196984:LWQ196984 LMT196984:LMU196984 LCX196984:LCY196984 KTB196984:KTC196984 KJF196984:KJG196984 JZJ196984:JZK196984 JPN196984:JPO196984 JFR196984:JFS196984 IVV196984:IVW196984 ILZ196984:IMA196984 ICD196984:ICE196984 HSH196984:HSI196984 HIL196984:HIM196984 GYP196984:GYQ196984 GOT196984:GOU196984 GEX196984:GEY196984 FVB196984:FVC196984 FLF196984:FLG196984 FBJ196984:FBK196984 ERN196984:ERO196984 EHR196984:EHS196984 DXV196984:DXW196984 DNZ196984:DOA196984 DED196984:DEE196984 CUH196984:CUI196984 CKL196984:CKM196984 CAP196984:CAQ196984 BQT196984:BQU196984 BGX196984:BGY196984 AXB196984:AXC196984 ANF196984:ANG196984 ADJ196984:ADK196984 TN196984:TO196984 JR196984:JS196984 V196996:W196996 WWD131448:WWE131448 WMH131448:WMI131448 WCL131448:WCM131448 VSP131448:VSQ131448 VIT131448:VIU131448 UYX131448:UYY131448 UPB131448:UPC131448 UFF131448:UFG131448 TVJ131448:TVK131448 TLN131448:TLO131448 TBR131448:TBS131448 SRV131448:SRW131448 SHZ131448:SIA131448 RYD131448:RYE131448 ROH131448:ROI131448 REL131448:REM131448 QUP131448:QUQ131448 QKT131448:QKU131448 QAX131448:QAY131448 PRB131448:PRC131448 PHF131448:PHG131448 OXJ131448:OXK131448 ONN131448:ONO131448 ODR131448:ODS131448 NTV131448:NTW131448 NJZ131448:NKA131448 NAD131448:NAE131448 MQH131448:MQI131448 MGL131448:MGM131448 LWP131448:LWQ131448 LMT131448:LMU131448 LCX131448:LCY131448 KTB131448:KTC131448 KJF131448:KJG131448 JZJ131448:JZK131448 JPN131448:JPO131448 JFR131448:JFS131448 IVV131448:IVW131448 ILZ131448:IMA131448 ICD131448:ICE131448 HSH131448:HSI131448 HIL131448:HIM131448 GYP131448:GYQ131448 GOT131448:GOU131448 GEX131448:GEY131448 FVB131448:FVC131448 FLF131448:FLG131448 FBJ131448:FBK131448 ERN131448:ERO131448 EHR131448:EHS131448 DXV131448:DXW131448 DNZ131448:DOA131448 DED131448:DEE131448 CUH131448:CUI131448 CKL131448:CKM131448 CAP131448:CAQ131448 BQT131448:BQU131448 BGX131448:BGY131448 AXB131448:AXC131448 ANF131448:ANG131448 ADJ131448:ADK131448 TN131448:TO131448 JR131448:JS131448 V131460:W131460 WWD65912:WWE65912 WMH65912:WMI65912 WCL65912:WCM65912 VSP65912:VSQ65912 VIT65912:VIU65912 UYX65912:UYY65912 UPB65912:UPC65912 UFF65912:UFG65912 TVJ65912:TVK65912 TLN65912:TLO65912 TBR65912:TBS65912 SRV65912:SRW65912 SHZ65912:SIA65912 RYD65912:RYE65912 ROH65912:ROI65912 REL65912:REM65912 QUP65912:QUQ65912 QKT65912:QKU65912 QAX65912:QAY65912 PRB65912:PRC65912 PHF65912:PHG65912 OXJ65912:OXK65912 ONN65912:ONO65912 ODR65912:ODS65912 NTV65912:NTW65912 NJZ65912:NKA65912 NAD65912:NAE65912 MQH65912:MQI65912 MGL65912:MGM65912 LWP65912:LWQ65912 LMT65912:LMU65912 LCX65912:LCY65912 KTB65912:KTC65912 KJF65912:KJG65912 JZJ65912:JZK65912 JPN65912:JPO65912 JFR65912:JFS65912 IVV65912:IVW65912 ILZ65912:IMA65912 ICD65912:ICE65912 HSH65912:HSI65912 HIL65912:HIM65912 GYP65912:GYQ65912 GOT65912:GOU65912 GEX65912:GEY65912 FVB65912:FVC65912 FLF65912:FLG65912 FBJ65912:FBK65912 ERN65912:ERO65912 EHR65912:EHS65912 DXV65912:DXW65912 DNZ65912:DOA65912 DED65912:DEE65912 CUH65912:CUI65912 CKL65912:CKM65912 CAP65912:CAQ65912 BQT65912:BQU65912 BGX65912:BGY65912 AXB65912:AXC65912 ANF65912:ANG65912 ADJ65912:ADK65912 TN65912:TO65912 JR65912:JS65912 V65924:W65924 WWD983401:WWE983401 WMH983401:WMI983401 WCL983401:WCM983401 VSP983401:VSQ983401 VIT983401:VIU983401 UYX983401:UYY983401 UPB983401:UPC983401 UFF983401:UFG983401 TVJ983401:TVK983401 TLN983401:TLO983401 TBR983401:TBS983401 SRV983401:SRW983401 SHZ983401:SIA983401 RYD983401:RYE983401 ROH983401:ROI983401 REL983401:REM983401 QUP983401:QUQ983401 QKT983401:QKU983401 QAX983401:QAY983401 PRB983401:PRC983401 PHF983401:PHG983401 OXJ983401:OXK983401 ONN983401:ONO983401 ODR983401:ODS983401 NTV983401:NTW983401 NJZ983401:NKA983401 NAD983401:NAE983401 MQH983401:MQI983401 MGL983401:MGM983401 LWP983401:LWQ983401 LMT983401:LMU983401 LCX983401:LCY983401 KTB983401:KTC983401 KJF983401:KJG983401 JZJ983401:JZK983401 JPN983401:JPO983401 JFR983401:JFS983401 IVV983401:IVW983401 ILZ983401:IMA983401 ICD983401:ICE983401 HSH983401:HSI983401 HIL983401:HIM983401 GYP983401:GYQ983401 GOT983401:GOU983401 GEX983401:GEY983401 FVB983401:FVC983401 FLF983401:FLG983401 FBJ983401:FBK983401 ERN983401:ERO983401 EHR983401:EHS983401 DXV983401:DXW983401 DNZ983401:DOA983401 DED983401:DEE983401 CUH983401:CUI983401 CKL983401:CKM983401 CAP983401:CAQ983401 BQT983401:BQU983401 BGX983401:BGY983401 AXB983401:AXC983401 ANF983401:ANG983401 ADJ983401:ADK983401 TN983401:TO983401 JR983401:JS983401 V983413:W983413 WWD917865:WWE917865 WMH917865:WMI917865 WCL917865:WCM917865 VSP917865:VSQ917865 VIT917865:VIU917865 UYX917865:UYY917865 UPB917865:UPC917865 UFF917865:UFG917865 TVJ917865:TVK917865 TLN917865:TLO917865 TBR917865:TBS917865 SRV917865:SRW917865 SHZ917865:SIA917865 RYD917865:RYE917865 ROH917865:ROI917865 REL917865:REM917865 QUP917865:QUQ917865 QKT917865:QKU917865 QAX917865:QAY917865 PRB917865:PRC917865 PHF917865:PHG917865 OXJ917865:OXK917865 ONN917865:ONO917865 ODR917865:ODS917865 NTV917865:NTW917865 NJZ917865:NKA917865 NAD917865:NAE917865 MQH917865:MQI917865 MGL917865:MGM917865 LWP917865:LWQ917865 LMT917865:LMU917865 LCX917865:LCY917865 KTB917865:KTC917865 KJF917865:KJG917865 JZJ917865:JZK917865 JPN917865:JPO917865 JFR917865:JFS917865 IVV917865:IVW917865 ILZ917865:IMA917865 ICD917865:ICE917865 HSH917865:HSI917865 HIL917865:HIM917865 GYP917865:GYQ917865 GOT917865:GOU917865 GEX917865:GEY917865 FVB917865:FVC917865 FLF917865:FLG917865 FBJ917865:FBK917865 ERN917865:ERO917865 EHR917865:EHS917865 DXV917865:DXW917865 DNZ917865:DOA917865 DED917865:DEE917865 CUH917865:CUI917865 CKL917865:CKM917865 CAP917865:CAQ917865 BQT917865:BQU917865 BGX917865:BGY917865 AXB917865:AXC917865 ANF917865:ANG917865 ADJ917865:ADK917865 TN917865:TO917865 JR917865:JS917865 V917877:W917877 WWD852329:WWE852329 WMH852329:WMI852329 WCL852329:WCM852329 VSP852329:VSQ852329 VIT852329:VIU852329 UYX852329:UYY852329 UPB852329:UPC852329 UFF852329:UFG852329 TVJ852329:TVK852329 TLN852329:TLO852329 TBR852329:TBS852329 SRV852329:SRW852329 SHZ852329:SIA852329 RYD852329:RYE852329 ROH852329:ROI852329 REL852329:REM852329 QUP852329:QUQ852329 QKT852329:QKU852329 QAX852329:QAY852329 PRB852329:PRC852329 PHF852329:PHG852329 OXJ852329:OXK852329 ONN852329:ONO852329 ODR852329:ODS852329 NTV852329:NTW852329 NJZ852329:NKA852329 NAD852329:NAE852329 MQH852329:MQI852329 MGL852329:MGM852329 LWP852329:LWQ852329 LMT852329:LMU852329 LCX852329:LCY852329 KTB852329:KTC852329 KJF852329:KJG852329 JZJ852329:JZK852329 JPN852329:JPO852329 JFR852329:JFS852329 IVV852329:IVW852329 ILZ852329:IMA852329 ICD852329:ICE852329 HSH852329:HSI852329 HIL852329:HIM852329 GYP852329:GYQ852329 GOT852329:GOU852329 GEX852329:GEY852329 FVB852329:FVC852329 FLF852329:FLG852329 FBJ852329:FBK852329 ERN852329:ERO852329 EHR852329:EHS852329 DXV852329:DXW852329 DNZ852329:DOA852329 DED852329:DEE852329 CUH852329:CUI852329 CKL852329:CKM852329 CAP852329:CAQ852329 BQT852329:BQU852329 BGX852329:BGY852329 AXB852329:AXC852329 ANF852329:ANG852329 ADJ852329:ADK852329 TN852329:TO852329 JR852329:JS852329 V852341:W852341 WWD786793:WWE786793 WMH786793:WMI786793 WCL786793:WCM786793 VSP786793:VSQ786793 VIT786793:VIU786793 UYX786793:UYY786793 UPB786793:UPC786793 UFF786793:UFG786793 TVJ786793:TVK786793 TLN786793:TLO786793 TBR786793:TBS786793 SRV786793:SRW786793 SHZ786793:SIA786793 RYD786793:RYE786793 ROH786793:ROI786793 REL786793:REM786793 QUP786793:QUQ786793 QKT786793:QKU786793 QAX786793:QAY786793 PRB786793:PRC786793 PHF786793:PHG786793 OXJ786793:OXK786793 ONN786793:ONO786793 ODR786793:ODS786793 NTV786793:NTW786793 NJZ786793:NKA786793 NAD786793:NAE786793 MQH786793:MQI786793 MGL786793:MGM786793 LWP786793:LWQ786793 LMT786793:LMU786793 LCX786793:LCY786793 KTB786793:KTC786793 KJF786793:KJG786793 JZJ786793:JZK786793 JPN786793:JPO786793 JFR786793:JFS786793 IVV786793:IVW786793 ILZ786793:IMA786793 ICD786793:ICE786793 HSH786793:HSI786793 HIL786793:HIM786793 GYP786793:GYQ786793 GOT786793:GOU786793 GEX786793:GEY786793 FVB786793:FVC786793 FLF786793:FLG786793 FBJ786793:FBK786793 ERN786793:ERO786793 EHR786793:EHS786793 DXV786793:DXW786793 DNZ786793:DOA786793 DED786793:DEE786793 CUH786793:CUI786793 CKL786793:CKM786793 CAP786793:CAQ786793 BQT786793:BQU786793 BGX786793:BGY786793 AXB786793:AXC786793 ANF786793:ANG786793 ADJ786793:ADK786793 TN786793:TO786793 JR786793:JS786793 V786805:W786805 WWD721257:WWE721257 WMH721257:WMI721257 WCL721257:WCM721257 VSP721257:VSQ721257 VIT721257:VIU721257 UYX721257:UYY721257 UPB721257:UPC721257 UFF721257:UFG721257 TVJ721257:TVK721257 TLN721257:TLO721257 TBR721257:TBS721257 SRV721257:SRW721257 SHZ721257:SIA721257 RYD721257:RYE721257 ROH721257:ROI721257 REL721257:REM721257 QUP721257:QUQ721257 QKT721257:QKU721257 QAX721257:QAY721257 PRB721257:PRC721257 PHF721257:PHG721257 OXJ721257:OXK721257 ONN721257:ONO721257 ODR721257:ODS721257 NTV721257:NTW721257 NJZ721257:NKA721257 NAD721257:NAE721257 MQH721257:MQI721257 MGL721257:MGM721257 LWP721257:LWQ721257 LMT721257:LMU721257 LCX721257:LCY721257 KTB721257:KTC721257 KJF721257:KJG721257 JZJ721257:JZK721257 JPN721257:JPO721257 JFR721257:JFS721257 IVV721257:IVW721257 ILZ721257:IMA721257 ICD721257:ICE721257 HSH721257:HSI721257 HIL721257:HIM721257 GYP721257:GYQ721257 GOT721257:GOU721257 GEX721257:GEY721257 FVB721257:FVC721257 FLF721257:FLG721257 FBJ721257:FBK721257 ERN721257:ERO721257 EHR721257:EHS721257 DXV721257:DXW721257 DNZ721257:DOA721257 DED721257:DEE721257 CUH721257:CUI721257 CKL721257:CKM721257 CAP721257:CAQ721257 BQT721257:BQU721257 BGX721257:BGY721257 AXB721257:AXC721257 ANF721257:ANG721257 ADJ721257:ADK721257 TN721257:TO721257 JR721257:JS721257 V721269:W721269 WWD655721:WWE655721 WMH655721:WMI655721 WCL655721:WCM655721 VSP655721:VSQ655721 VIT655721:VIU655721 UYX655721:UYY655721 UPB655721:UPC655721 UFF655721:UFG655721 TVJ655721:TVK655721 TLN655721:TLO655721 TBR655721:TBS655721 SRV655721:SRW655721 SHZ655721:SIA655721 RYD655721:RYE655721 ROH655721:ROI655721 REL655721:REM655721 QUP655721:QUQ655721 QKT655721:QKU655721 QAX655721:QAY655721 PRB655721:PRC655721 PHF655721:PHG655721 OXJ655721:OXK655721 ONN655721:ONO655721 ODR655721:ODS655721 NTV655721:NTW655721 NJZ655721:NKA655721 NAD655721:NAE655721 MQH655721:MQI655721 MGL655721:MGM655721 LWP655721:LWQ655721 LMT655721:LMU655721 LCX655721:LCY655721 KTB655721:KTC655721 KJF655721:KJG655721 JZJ655721:JZK655721 JPN655721:JPO655721 JFR655721:JFS655721 IVV655721:IVW655721 ILZ655721:IMA655721 ICD655721:ICE655721 HSH655721:HSI655721 HIL655721:HIM655721 GYP655721:GYQ655721 GOT655721:GOU655721 GEX655721:GEY655721 FVB655721:FVC655721 FLF655721:FLG655721 FBJ655721:FBK655721 ERN655721:ERO655721 EHR655721:EHS655721 DXV655721:DXW655721 DNZ655721:DOA655721 DED655721:DEE655721 CUH655721:CUI655721 CKL655721:CKM655721 CAP655721:CAQ655721 BQT655721:BQU655721 BGX655721:BGY655721 AXB655721:AXC655721 ANF655721:ANG655721 ADJ655721:ADK655721 TN655721:TO655721 JR655721:JS655721 V655733:W655733 WWD590185:WWE590185 WMH590185:WMI590185 WCL590185:WCM590185 VSP590185:VSQ590185 VIT590185:VIU590185 UYX590185:UYY590185 UPB590185:UPC590185 UFF590185:UFG590185 TVJ590185:TVK590185 TLN590185:TLO590185 TBR590185:TBS590185 SRV590185:SRW590185 SHZ590185:SIA590185 RYD590185:RYE590185 ROH590185:ROI590185 REL590185:REM590185 QUP590185:QUQ590185 QKT590185:QKU590185 QAX590185:QAY590185 PRB590185:PRC590185 PHF590185:PHG590185 OXJ590185:OXK590185 ONN590185:ONO590185 ODR590185:ODS590185 NTV590185:NTW590185 NJZ590185:NKA590185 NAD590185:NAE590185 MQH590185:MQI590185 MGL590185:MGM590185 LWP590185:LWQ590185 LMT590185:LMU590185 LCX590185:LCY590185 KTB590185:KTC590185 KJF590185:KJG590185 JZJ590185:JZK590185 JPN590185:JPO590185 JFR590185:JFS590185 IVV590185:IVW590185 ILZ590185:IMA590185 ICD590185:ICE590185 HSH590185:HSI590185 HIL590185:HIM590185 GYP590185:GYQ590185 GOT590185:GOU590185 GEX590185:GEY590185 FVB590185:FVC590185 FLF590185:FLG590185 FBJ590185:FBK590185 ERN590185:ERO590185 EHR590185:EHS590185 DXV590185:DXW590185 DNZ590185:DOA590185 DED590185:DEE590185 CUH590185:CUI590185 CKL590185:CKM590185 CAP590185:CAQ590185 BQT590185:BQU590185 BGX590185:BGY590185 AXB590185:AXC590185 ANF590185:ANG590185 ADJ590185:ADK590185 TN590185:TO590185 JR590185:JS590185 V590197:W590197 WWD524649:WWE524649 WMH524649:WMI524649 WCL524649:WCM524649 VSP524649:VSQ524649 VIT524649:VIU524649 UYX524649:UYY524649 UPB524649:UPC524649 UFF524649:UFG524649 TVJ524649:TVK524649 TLN524649:TLO524649 TBR524649:TBS524649 SRV524649:SRW524649 SHZ524649:SIA524649 RYD524649:RYE524649 ROH524649:ROI524649 REL524649:REM524649 QUP524649:QUQ524649 QKT524649:QKU524649 QAX524649:QAY524649 PRB524649:PRC524649 PHF524649:PHG524649 OXJ524649:OXK524649 ONN524649:ONO524649 ODR524649:ODS524649 NTV524649:NTW524649 NJZ524649:NKA524649 NAD524649:NAE524649 MQH524649:MQI524649 MGL524649:MGM524649 LWP524649:LWQ524649 LMT524649:LMU524649 LCX524649:LCY524649 KTB524649:KTC524649 KJF524649:KJG524649 JZJ524649:JZK524649 JPN524649:JPO524649 JFR524649:JFS524649 IVV524649:IVW524649 ILZ524649:IMA524649 ICD524649:ICE524649 HSH524649:HSI524649 HIL524649:HIM524649 GYP524649:GYQ524649 GOT524649:GOU524649 GEX524649:GEY524649 FVB524649:FVC524649 FLF524649:FLG524649 FBJ524649:FBK524649 ERN524649:ERO524649 EHR524649:EHS524649 DXV524649:DXW524649 DNZ524649:DOA524649 DED524649:DEE524649 CUH524649:CUI524649 CKL524649:CKM524649 CAP524649:CAQ524649 BQT524649:BQU524649 BGX524649:BGY524649 AXB524649:AXC524649 ANF524649:ANG524649 ADJ524649:ADK524649 TN524649:TO524649 JR524649:JS524649 V524661:W524661 WWD459113:WWE459113 WMH459113:WMI459113 WCL459113:WCM459113 VSP459113:VSQ459113 VIT459113:VIU459113 UYX459113:UYY459113 UPB459113:UPC459113 UFF459113:UFG459113 TVJ459113:TVK459113 TLN459113:TLO459113 TBR459113:TBS459113 SRV459113:SRW459113 SHZ459113:SIA459113 RYD459113:RYE459113 ROH459113:ROI459113 REL459113:REM459113 QUP459113:QUQ459113 QKT459113:QKU459113 QAX459113:QAY459113 PRB459113:PRC459113 PHF459113:PHG459113 OXJ459113:OXK459113 ONN459113:ONO459113 ODR459113:ODS459113 NTV459113:NTW459113 NJZ459113:NKA459113 NAD459113:NAE459113 MQH459113:MQI459113 MGL459113:MGM459113 LWP459113:LWQ459113 LMT459113:LMU459113 LCX459113:LCY459113 KTB459113:KTC459113 KJF459113:KJG459113 JZJ459113:JZK459113 JPN459113:JPO459113 JFR459113:JFS459113 IVV459113:IVW459113 ILZ459113:IMA459113 ICD459113:ICE459113 HSH459113:HSI459113 HIL459113:HIM459113 GYP459113:GYQ459113 GOT459113:GOU459113 GEX459113:GEY459113 FVB459113:FVC459113 FLF459113:FLG459113 FBJ459113:FBK459113 ERN459113:ERO459113 EHR459113:EHS459113 DXV459113:DXW459113 DNZ459113:DOA459113 DED459113:DEE459113 CUH459113:CUI459113 CKL459113:CKM459113 CAP459113:CAQ459113 BQT459113:BQU459113 BGX459113:BGY459113 AXB459113:AXC459113 ANF459113:ANG459113 ADJ459113:ADK459113 TN459113:TO459113 JR459113:JS459113 V459125:W459125 WWD393577:WWE393577 WMH393577:WMI393577 WCL393577:WCM393577 VSP393577:VSQ393577 VIT393577:VIU393577 UYX393577:UYY393577 UPB393577:UPC393577 UFF393577:UFG393577 TVJ393577:TVK393577 TLN393577:TLO393577 TBR393577:TBS393577 SRV393577:SRW393577 SHZ393577:SIA393577 RYD393577:RYE393577 ROH393577:ROI393577 REL393577:REM393577 QUP393577:QUQ393577 QKT393577:QKU393577 QAX393577:QAY393577 PRB393577:PRC393577 PHF393577:PHG393577 OXJ393577:OXK393577 ONN393577:ONO393577 ODR393577:ODS393577 NTV393577:NTW393577 NJZ393577:NKA393577 NAD393577:NAE393577 MQH393577:MQI393577 MGL393577:MGM393577 LWP393577:LWQ393577 LMT393577:LMU393577 LCX393577:LCY393577 KTB393577:KTC393577 KJF393577:KJG393577 JZJ393577:JZK393577 JPN393577:JPO393577 JFR393577:JFS393577 IVV393577:IVW393577 ILZ393577:IMA393577 ICD393577:ICE393577 HSH393577:HSI393577 HIL393577:HIM393577 GYP393577:GYQ393577 GOT393577:GOU393577 GEX393577:GEY393577 FVB393577:FVC393577 FLF393577:FLG393577 FBJ393577:FBK393577 ERN393577:ERO393577 EHR393577:EHS393577 DXV393577:DXW393577 DNZ393577:DOA393577 DED393577:DEE393577 CUH393577:CUI393577 CKL393577:CKM393577 CAP393577:CAQ393577 BQT393577:BQU393577 BGX393577:BGY393577 AXB393577:AXC393577 ANF393577:ANG393577 ADJ393577:ADK393577 TN393577:TO393577 JR393577:JS393577 V393589:W393589 WWD328041:WWE328041 WMH328041:WMI328041 WCL328041:WCM328041 VSP328041:VSQ328041 VIT328041:VIU328041 UYX328041:UYY328041 UPB328041:UPC328041 UFF328041:UFG328041 TVJ328041:TVK328041 TLN328041:TLO328041 TBR328041:TBS328041 SRV328041:SRW328041 SHZ328041:SIA328041 RYD328041:RYE328041 ROH328041:ROI328041 REL328041:REM328041 QUP328041:QUQ328041 QKT328041:QKU328041 QAX328041:QAY328041 PRB328041:PRC328041 PHF328041:PHG328041 OXJ328041:OXK328041 ONN328041:ONO328041 ODR328041:ODS328041 NTV328041:NTW328041 NJZ328041:NKA328041 NAD328041:NAE328041 MQH328041:MQI328041 MGL328041:MGM328041 LWP328041:LWQ328041 LMT328041:LMU328041 LCX328041:LCY328041 KTB328041:KTC328041 KJF328041:KJG328041 JZJ328041:JZK328041 JPN328041:JPO328041 JFR328041:JFS328041 IVV328041:IVW328041 ILZ328041:IMA328041 ICD328041:ICE328041 HSH328041:HSI328041 HIL328041:HIM328041 GYP328041:GYQ328041 GOT328041:GOU328041 GEX328041:GEY328041 FVB328041:FVC328041 FLF328041:FLG328041 FBJ328041:FBK328041 ERN328041:ERO328041 EHR328041:EHS328041 DXV328041:DXW328041 DNZ328041:DOA328041 DED328041:DEE328041 CUH328041:CUI328041 CKL328041:CKM328041 CAP328041:CAQ328041 BQT328041:BQU328041 BGX328041:BGY328041 AXB328041:AXC328041 ANF328041:ANG328041 ADJ328041:ADK328041 TN328041:TO328041 JR328041:JS328041 V328053:W328053 WWD262505:WWE262505 WMH262505:WMI262505 WCL262505:WCM262505 VSP262505:VSQ262505 VIT262505:VIU262505 UYX262505:UYY262505 UPB262505:UPC262505 UFF262505:UFG262505 TVJ262505:TVK262505 TLN262505:TLO262505 TBR262505:TBS262505 SRV262505:SRW262505 SHZ262505:SIA262505 RYD262505:RYE262505 ROH262505:ROI262505 REL262505:REM262505 QUP262505:QUQ262505 QKT262505:QKU262505 QAX262505:QAY262505 PRB262505:PRC262505 PHF262505:PHG262505 OXJ262505:OXK262505 ONN262505:ONO262505 ODR262505:ODS262505 NTV262505:NTW262505 NJZ262505:NKA262505 NAD262505:NAE262505 MQH262505:MQI262505 MGL262505:MGM262505 LWP262505:LWQ262505 LMT262505:LMU262505 LCX262505:LCY262505 KTB262505:KTC262505 KJF262505:KJG262505 JZJ262505:JZK262505 JPN262505:JPO262505 JFR262505:JFS262505 IVV262505:IVW262505 ILZ262505:IMA262505 ICD262505:ICE262505 HSH262505:HSI262505 HIL262505:HIM262505 GYP262505:GYQ262505 GOT262505:GOU262505 GEX262505:GEY262505 FVB262505:FVC262505 FLF262505:FLG262505 FBJ262505:FBK262505 ERN262505:ERO262505 EHR262505:EHS262505 DXV262505:DXW262505 DNZ262505:DOA262505 DED262505:DEE262505 CUH262505:CUI262505 CKL262505:CKM262505 CAP262505:CAQ262505 BQT262505:BQU262505 BGX262505:BGY262505 AXB262505:AXC262505 ANF262505:ANG262505 ADJ262505:ADK262505 TN262505:TO262505 JR262505:JS262505 V262517:W262517 WWD196969:WWE196969 WMH196969:WMI196969 WCL196969:WCM196969 VSP196969:VSQ196969 VIT196969:VIU196969 UYX196969:UYY196969 UPB196969:UPC196969 UFF196969:UFG196969 TVJ196969:TVK196969 TLN196969:TLO196969 TBR196969:TBS196969 SRV196969:SRW196969 SHZ196969:SIA196969 RYD196969:RYE196969 ROH196969:ROI196969 REL196969:REM196969 QUP196969:QUQ196969 QKT196969:QKU196969 QAX196969:QAY196969 PRB196969:PRC196969 PHF196969:PHG196969 OXJ196969:OXK196969 ONN196969:ONO196969 ODR196969:ODS196969 NTV196969:NTW196969 NJZ196969:NKA196969 NAD196969:NAE196969 MQH196969:MQI196969 MGL196969:MGM196969 LWP196969:LWQ196969 LMT196969:LMU196969 LCX196969:LCY196969 KTB196969:KTC196969 KJF196969:KJG196969 JZJ196969:JZK196969 JPN196969:JPO196969 JFR196969:JFS196969 IVV196969:IVW196969 ILZ196969:IMA196969 ICD196969:ICE196969 HSH196969:HSI196969 HIL196969:HIM196969 GYP196969:GYQ196969 GOT196969:GOU196969 GEX196969:GEY196969 FVB196969:FVC196969 FLF196969:FLG196969 FBJ196969:FBK196969 ERN196969:ERO196969 EHR196969:EHS196969 DXV196969:DXW196969 DNZ196969:DOA196969 DED196969:DEE196969 CUH196969:CUI196969 CKL196969:CKM196969 CAP196969:CAQ196969 BQT196969:BQU196969 BGX196969:BGY196969 AXB196969:AXC196969 ANF196969:ANG196969 ADJ196969:ADK196969 TN196969:TO196969 JR196969:JS196969 V196981:W196981 WWD131433:WWE131433 WMH131433:WMI131433 WCL131433:WCM131433 VSP131433:VSQ131433 VIT131433:VIU131433 UYX131433:UYY131433 UPB131433:UPC131433 UFF131433:UFG131433 TVJ131433:TVK131433 TLN131433:TLO131433 TBR131433:TBS131433 SRV131433:SRW131433 SHZ131433:SIA131433 RYD131433:RYE131433 ROH131433:ROI131433 REL131433:REM131433 QUP131433:QUQ131433 QKT131433:QKU131433 QAX131433:QAY131433 PRB131433:PRC131433 PHF131433:PHG131433 OXJ131433:OXK131433 ONN131433:ONO131433 ODR131433:ODS131433 NTV131433:NTW131433 NJZ131433:NKA131433 NAD131433:NAE131433 MQH131433:MQI131433 MGL131433:MGM131433 LWP131433:LWQ131433 LMT131433:LMU131433 LCX131433:LCY131433 KTB131433:KTC131433 KJF131433:KJG131433 JZJ131433:JZK131433 JPN131433:JPO131433 JFR131433:JFS131433 IVV131433:IVW131433 ILZ131433:IMA131433 ICD131433:ICE131433 HSH131433:HSI131433 HIL131433:HIM131433 GYP131433:GYQ131433 GOT131433:GOU131433 GEX131433:GEY131433 FVB131433:FVC131433 FLF131433:FLG131433 FBJ131433:FBK131433 ERN131433:ERO131433 EHR131433:EHS131433 DXV131433:DXW131433 DNZ131433:DOA131433 DED131433:DEE131433 CUH131433:CUI131433 CKL131433:CKM131433 CAP131433:CAQ131433 BQT131433:BQU131433 BGX131433:BGY131433 AXB131433:AXC131433 ANF131433:ANG131433 ADJ131433:ADK131433 TN131433:TO131433 JR131433:JS131433 V131445:W131445 WWD65897:WWE65897 WMH65897:WMI65897 WCL65897:WCM65897 VSP65897:VSQ65897 VIT65897:VIU65897 UYX65897:UYY65897 UPB65897:UPC65897 UFF65897:UFG65897 TVJ65897:TVK65897 TLN65897:TLO65897 TBR65897:TBS65897 SRV65897:SRW65897 SHZ65897:SIA65897 RYD65897:RYE65897 ROH65897:ROI65897 REL65897:REM65897 QUP65897:QUQ65897 QKT65897:QKU65897 QAX65897:QAY65897 PRB65897:PRC65897 PHF65897:PHG65897 OXJ65897:OXK65897 ONN65897:ONO65897 ODR65897:ODS65897 NTV65897:NTW65897 NJZ65897:NKA65897 NAD65897:NAE65897 MQH65897:MQI65897 MGL65897:MGM65897 LWP65897:LWQ65897 LMT65897:LMU65897 LCX65897:LCY65897 KTB65897:KTC65897 KJF65897:KJG65897 JZJ65897:JZK65897 JPN65897:JPO65897 JFR65897:JFS65897 IVV65897:IVW65897 ILZ65897:IMA65897 ICD65897:ICE65897 HSH65897:HSI65897 HIL65897:HIM65897 GYP65897:GYQ65897 GOT65897:GOU65897 GEX65897:GEY65897 FVB65897:FVC65897 FLF65897:FLG65897 FBJ65897:FBK65897 ERN65897:ERO65897 EHR65897:EHS65897 DXV65897:DXW65897 DNZ65897:DOA65897 DED65897:DEE65897 CUH65897:CUI65897 CKL65897:CKM65897 CAP65897:CAQ65897 BQT65897:BQU65897 BGX65897:BGY65897 AXB65897:AXC65897 ANF65897:ANG65897 ADJ65897:ADK65897 TN65897:TO65897 JR65897:JS65897 V65909:W65909 WWD41:WWE41 WMH41:WMI41 WCL41:WCM41 VSP41:VSQ41 VIT41:VIU41 UYX41:UYY41 UPB41:UPC41 UFF41:UFG41 TVJ41:TVK41 TLN41:TLO41 TBR41:TBS41 SRV41:SRW41 SHZ41:SIA41 RYD41:RYE41 ROH41:ROI41 REL41:REM41 QUP41:QUQ41 QKT41:QKU41 QAX41:QAY41 PRB41:PRC41 PHF41:PHG41 OXJ41:OXK41 ONN41:ONO41 ODR41:ODS41 NTV41:NTW41 NJZ41:NKA41 NAD41:NAE41 MQH41:MQI41 MGL41:MGM41 LWP41:LWQ41 LMT41:LMU41 LCX41:LCY41 KTB41:KTC41 KJF41:KJG41 JZJ41:JZK41 JPN41:JPO41 JFR41:JFS41 IVV41:IVW41 ILZ41:IMA41 ICD41:ICE41 HSH41:HSI41 HIL41:HIM41 GYP41:GYQ41 GOT41:GOU41 GEX41:GEY41 FVB41:FVC41 FLF41:FLG41 FBJ41:FBK41 ERN41:ERO41 EHR41:EHS41 DXV41:DXW41 DNZ41:DOA41 DED41:DEE41 CUH41:CUI41 CKL41:CKM41 CAP41:CAQ41 BQT41:BQU41 BGX41:BGY41 AXB41:AXC41 ANF41:ANG41 ADJ41:ADK41 TN41:TO41 JR41:JS41 WMH983488:WMI983488 WWD122:WWE123 WMH122:WMI123 WCL122:WCM123 VSP122:VSQ123 VIT122:VIU123 UYX122:UYY123 UPB122:UPC123 UFF122:UFG123 TVJ122:TVK123 TLN122:TLO123 TBR122:TBS123 SRV122:SRW123 SHZ122:SIA123 RYD122:RYE123 ROH122:ROI123 REL122:REM123 QUP122:QUQ123 QKT122:QKU123 QAX122:QAY123 PRB122:PRC123 PHF122:PHG123 OXJ122:OXK123 ONN122:ONO123 ODR122:ODS123 NTV122:NTW123 NJZ122:NKA123 NAD122:NAE123 MQH122:MQI123 MGL122:MGM123 LWP122:LWQ123 LMT122:LMU123 LCX122:LCY123 KTB122:KTC123 KJF122:KJG123 JZJ122:JZK123 JPN122:JPO123 JFR122:JFS123 IVV122:IVW123 ILZ122:IMA123 ICD122:ICE123 HSH122:HSI123 HIL122:HIM123 GYP122:GYQ123 GOT122:GOU123 GEX122:GEY123 FVB122:FVC123 FLF122:FLG123 FBJ122:FBK123 ERN122:ERO123 EHR122:EHS123 DXV122:DXW123 DNZ122:DOA123 DED122:DEE123 CUH122:CUI123 CKL122:CKM123 CAP122:CAQ123 BQT122:BQU123 BGX122:BGY123 AXB122:AXC123 ANF122:ANG123 ADJ122:ADK123 TN122:TO123 JR122:JS123" xr:uid="{00000000-0002-0000-0400-000000000000}">
      <formula1>$AI$40:$AI$41</formula1>
    </dataValidation>
    <dataValidation type="list" allowBlank="1" showInputMessage="1" showErrorMessage="1" sqref="WWA983456 S65965 JO65952 TK65952 ADG65952 ANC65952 AWY65952 BGU65952 BQQ65952 CAM65952 CKI65952 CUE65952 DEA65952 DNW65952 DXS65952 EHO65952 ERK65952 FBG65952 FLC65952 FUY65952 GEU65952 GOQ65952 GYM65952 HII65952 HSE65952 ICA65952 ILW65952 IVS65952 JFO65952 JPK65952 JZG65952 KJC65952 KSY65952 LCU65952 LMQ65952 LWM65952 MGI65952 MQE65952 NAA65952 NJW65952 NTS65952 ODO65952 ONK65952 OXG65952 PHC65952 PQY65952 QAU65952 QKQ65952 QUM65952 REI65952 ROE65952 RYA65952 SHW65952 SRS65952 TBO65952 TLK65952 TVG65952 UFC65952 UOY65952 UYU65952 VIQ65952 VSM65952 WCI65952 WME65952 WWA65952 S131501 JO131488 TK131488 ADG131488 ANC131488 AWY131488 BGU131488 BQQ131488 CAM131488 CKI131488 CUE131488 DEA131488 DNW131488 DXS131488 EHO131488 ERK131488 FBG131488 FLC131488 FUY131488 GEU131488 GOQ131488 GYM131488 HII131488 HSE131488 ICA131488 ILW131488 IVS131488 JFO131488 JPK131488 JZG131488 KJC131488 KSY131488 LCU131488 LMQ131488 LWM131488 MGI131488 MQE131488 NAA131488 NJW131488 NTS131488 ODO131488 ONK131488 OXG131488 PHC131488 PQY131488 QAU131488 QKQ131488 QUM131488 REI131488 ROE131488 RYA131488 SHW131488 SRS131488 TBO131488 TLK131488 TVG131488 UFC131488 UOY131488 UYU131488 VIQ131488 VSM131488 WCI131488 WME131488 WWA131488 S197037 JO197024 TK197024 ADG197024 ANC197024 AWY197024 BGU197024 BQQ197024 CAM197024 CKI197024 CUE197024 DEA197024 DNW197024 DXS197024 EHO197024 ERK197024 FBG197024 FLC197024 FUY197024 GEU197024 GOQ197024 GYM197024 HII197024 HSE197024 ICA197024 ILW197024 IVS197024 JFO197024 JPK197024 JZG197024 KJC197024 KSY197024 LCU197024 LMQ197024 LWM197024 MGI197024 MQE197024 NAA197024 NJW197024 NTS197024 ODO197024 ONK197024 OXG197024 PHC197024 PQY197024 QAU197024 QKQ197024 QUM197024 REI197024 ROE197024 RYA197024 SHW197024 SRS197024 TBO197024 TLK197024 TVG197024 UFC197024 UOY197024 UYU197024 VIQ197024 VSM197024 WCI197024 WME197024 WWA197024 S262573 JO262560 TK262560 ADG262560 ANC262560 AWY262560 BGU262560 BQQ262560 CAM262560 CKI262560 CUE262560 DEA262560 DNW262560 DXS262560 EHO262560 ERK262560 FBG262560 FLC262560 FUY262560 GEU262560 GOQ262560 GYM262560 HII262560 HSE262560 ICA262560 ILW262560 IVS262560 JFO262560 JPK262560 JZG262560 KJC262560 KSY262560 LCU262560 LMQ262560 LWM262560 MGI262560 MQE262560 NAA262560 NJW262560 NTS262560 ODO262560 ONK262560 OXG262560 PHC262560 PQY262560 QAU262560 QKQ262560 QUM262560 REI262560 ROE262560 RYA262560 SHW262560 SRS262560 TBO262560 TLK262560 TVG262560 UFC262560 UOY262560 UYU262560 VIQ262560 VSM262560 WCI262560 WME262560 WWA262560 S328109 JO328096 TK328096 ADG328096 ANC328096 AWY328096 BGU328096 BQQ328096 CAM328096 CKI328096 CUE328096 DEA328096 DNW328096 DXS328096 EHO328096 ERK328096 FBG328096 FLC328096 FUY328096 GEU328096 GOQ328096 GYM328096 HII328096 HSE328096 ICA328096 ILW328096 IVS328096 JFO328096 JPK328096 JZG328096 KJC328096 KSY328096 LCU328096 LMQ328096 LWM328096 MGI328096 MQE328096 NAA328096 NJW328096 NTS328096 ODO328096 ONK328096 OXG328096 PHC328096 PQY328096 QAU328096 QKQ328096 QUM328096 REI328096 ROE328096 RYA328096 SHW328096 SRS328096 TBO328096 TLK328096 TVG328096 UFC328096 UOY328096 UYU328096 VIQ328096 VSM328096 WCI328096 WME328096 WWA328096 S393645 JO393632 TK393632 ADG393632 ANC393632 AWY393632 BGU393632 BQQ393632 CAM393632 CKI393632 CUE393632 DEA393632 DNW393632 DXS393632 EHO393632 ERK393632 FBG393632 FLC393632 FUY393632 GEU393632 GOQ393632 GYM393632 HII393632 HSE393632 ICA393632 ILW393632 IVS393632 JFO393632 JPK393632 JZG393632 KJC393632 KSY393632 LCU393632 LMQ393632 LWM393632 MGI393632 MQE393632 NAA393632 NJW393632 NTS393632 ODO393632 ONK393632 OXG393632 PHC393632 PQY393632 QAU393632 QKQ393632 QUM393632 REI393632 ROE393632 RYA393632 SHW393632 SRS393632 TBO393632 TLK393632 TVG393632 UFC393632 UOY393632 UYU393632 VIQ393632 VSM393632 WCI393632 WME393632 WWA393632 S459181 JO459168 TK459168 ADG459168 ANC459168 AWY459168 BGU459168 BQQ459168 CAM459168 CKI459168 CUE459168 DEA459168 DNW459168 DXS459168 EHO459168 ERK459168 FBG459168 FLC459168 FUY459168 GEU459168 GOQ459168 GYM459168 HII459168 HSE459168 ICA459168 ILW459168 IVS459168 JFO459168 JPK459168 JZG459168 KJC459168 KSY459168 LCU459168 LMQ459168 LWM459168 MGI459168 MQE459168 NAA459168 NJW459168 NTS459168 ODO459168 ONK459168 OXG459168 PHC459168 PQY459168 QAU459168 QKQ459168 QUM459168 REI459168 ROE459168 RYA459168 SHW459168 SRS459168 TBO459168 TLK459168 TVG459168 UFC459168 UOY459168 UYU459168 VIQ459168 VSM459168 WCI459168 WME459168 WWA459168 S524717 JO524704 TK524704 ADG524704 ANC524704 AWY524704 BGU524704 BQQ524704 CAM524704 CKI524704 CUE524704 DEA524704 DNW524704 DXS524704 EHO524704 ERK524704 FBG524704 FLC524704 FUY524704 GEU524704 GOQ524704 GYM524704 HII524704 HSE524704 ICA524704 ILW524704 IVS524704 JFO524704 JPK524704 JZG524704 KJC524704 KSY524704 LCU524704 LMQ524704 LWM524704 MGI524704 MQE524704 NAA524704 NJW524704 NTS524704 ODO524704 ONK524704 OXG524704 PHC524704 PQY524704 QAU524704 QKQ524704 QUM524704 REI524704 ROE524704 RYA524704 SHW524704 SRS524704 TBO524704 TLK524704 TVG524704 UFC524704 UOY524704 UYU524704 VIQ524704 VSM524704 WCI524704 WME524704 WWA524704 S590253 JO590240 TK590240 ADG590240 ANC590240 AWY590240 BGU590240 BQQ590240 CAM590240 CKI590240 CUE590240 DEA590240 DNW590240 DXS590240 EHO590240 ERK590240 FBG590240 FLC590240 FUY590240 GEU590240 GOQ590240 GYM590240 HII590240 HSE590240 ICA590240 ILW590240 IVS590240 JFO590240 JPK590240 JZG590240 KJC590240 KSY590240 LCU590240 LMQ590240 LWM590240 MGI590240 MQE590240 NAA590240 NJW590240 NTS590240 ODO590240 ONK590240 OXG590240 PHC590240 PQY590240 QAU590240 QKQ590240 QUM590240 REI590240 ROE590240 RYA590240 SHW590240 SRS590240 TBO590240 TLK590240 TVG590240 UFC590240 UOY590240 UYU590240 VIQ590240 VSM590240 WCI590240 WME590240 WWA590240 S655789 JO655776 TK655776 ADG655776 ANC655776 AWY655776 BGU655776 BQQ655776 CAM655776 CKI655776 CUE655776 DEA655776 DNW655776 DXS655776 EHO655776 ERK655776 FBG655776 FLC655776 FUY655776 GEU655776 GOQ655776 GYM655776 HII655776 HSE655776 ICA655776 ILW655776 IVS655776 JFO655776 JPK655776 JZG655776 KJC655776 KSY655776 LCU655776 LMQ655776 LWM655776 MGI655776 MQE655776 NAA655776 NJW655776 NTS655776 ODO655776 ONK655776 OXG655776 PHC655776 PQY655776 QAU655776 QKQ655776 QUM655776 REI655776 ROE655776 RYA655776 SHW655776 SRS655776 TBO655776 TLK655776 TVG655776 UFC655776 UOY655776 UYU655776 VIQ655776 VSM655776 WCI655776 WME655776 WWA655776 S721325 JO721312 TK721312 ADG721312 ANC721312 AWY721312 BGU721312 BQQ721312 CAM721312 CKI721312 CUE721312 DEA721312 DNW721312 DXS721312 EHO721312 ERK721312 FBG721312 FLC721312 FUY721312 GEU721312 GOQ721312 GYM721312 HII721312 HSE721312 ICA721312 ILW721312 IVS721312 JFO721312 JPK721312 JZG721312 KJC721312 KSY721312 LCU721312 LMQ721312 LWM721312 MGI721312 MQE721312 NAA721312 NJW721312 NTS721312 ODO721312 ONK721312 OXG721312 PHC721312 PQY721312 QAU721312 QKQ721312 QUM721312 REI721312 ROE721312 RYA721312 SHW721312 SRS721312 TBO721312 TLK721312 TVG721312 UFC721312 UOY721312 UYU721312 VIQ721312 VSM721312 WCI721312 WME721312 WWA721312 S786861 JO786848 TK786848 ADG786848 ANC786848 AWY786848 BGU786848 BQQ786848 CAM786848 CKI786848 CUE786848 DEA786848 DNW786848 DXS786848 EHO786848 ERK786848 FBG786848 FLC786848 FUY786848 GEU786848 GOQ786848 GYM786848 HII786848 HSE786848 ICA786848 ILW786848 IVS786848 JFO786848 JPK786848 JZG786848 KJC786848 KSY786848 LCU786848 LMQ786848 LWM786848 MGI786848 MQE786848 NAA786848 NJW786848 NTS786848 ODO786848 ONK786848 OXG786848 PHC786848 PQY786848 QAU786848 QKQ786848 QUM786848 REI786848 ROE786848 RYA786848 SHW786848 SRS786848 TBO786848 TLK786848 TVG786848 UFC786848 UOY786848 UYU786848 VIQ786848 VSM786848 WCI786848 WME786848 WWA786848 S852397 JO852384 TK852384 ADG852384 ANC852384 AWY852384 BGU852384 BQQ852384 CAM852384 CKI852384 CUE852384 DEA852384 DNW852384 DXS852384 EHO852384 ERK852384 FBG852384 FLC852384 FUY852384 GEU852384 GOQ852384 GYM852384 HII852384 HSE852384 ICA852384 ILW852384 IVS852384 JFO852384 JPK852384 JZG852384 KJC852384 KSY852384 LCU852384 LMQ852384 LWM852384 MGI852384 MQE852384 NAA852384 NJW852384 NTS852384 ODO852384 ONK852384 OXG852384 PHC852384 PQY852384 QAU852384 QKQ852384 QUM852384 REI852384 ROE852384 RYA852384 SHW852384 SRS852384 TBO852384 TLK852384 TVG852384 UFC852384 UOY852384 UYU852384 VIQ852384 VSM852384 WCI852384 WME852384 WWA852384 S917933 JO917920 TK917920 ADG917920 ANC917920 AWY917920 BGU917920 BQQ917920 CAM917920 CKI917920 CUE917920 DEA917920 DNW917920 DXS917920 EHO917920 ERK917920 FBG917920 FLC917920 FUY917920 GEU917920 GOQ917920 GYM917920 HII917920 HSE917920 ICA917920 ILW917920 IVS917920 JFO917920 JPK917920 JZG917920 KJC917920 KSY917920 LCU917920 LMQ917920 LWM917920 MGI917920 MQE917920 NAA917920 NJW917920 NTS917920 ODO917920 ONK917920 OXG917920 PHC917920 PQY917920 QAU917920 QKQ917920 QUM917920 REI917920 ROE917920 RYA917920 SHW917920 SRS917920 TBO917920 TLK917920 TVG917920 UFC917920 UOY917920 UYU917920 VIQ917920 VSM917920 WCI917920 WME917920 WWA917920 S983469 JO983456 TK983456 ADG983456 ANC983456 AWY983456 BGU983456 BQQ983456 CAM983456 CKI983456 CUE983456 DEA983456 DNW983456 DXS983456 EHO983456 ERK983456 FBG983456 FLC983456 FUY983456 GEU983456 GOQ983456 GYM983456 HII983456 HSE983456 ICA983456 ILW983456 IVS983456 JFO983456 JPK983456 JZG983456 KJC983456 KSY983456 LCU983456 LMQ983456 LWM983456 MGI983456 MQE983456 NAA983456 NJW983456 NTS983456 ODO983456 ONK983456 OXG983456 PHC983456 PQY983456 QAU983456 QKQ983456 QUM983456 REI983456 ROE983456 RYA983456 SHW983456 SRS983456 TBO983456 TLK983456 TVG983456 UFC983456 UOY983456 UYU983456 VIQ983456 VSM983456 WCI983456 WME983456" xr:uid="{00000000-0002-0000-0400-000001000000}">
      <formula1>$AI$492:$AI$930</formula1>
    </dataValidation>
    <dataValidation type="list" allowBlank="1" showInputMessage="1" showErrorMessage="1" sqref="N103" xr:uid="{00000000-0002-0000-0400-000002000000}">
      <formula1>"Equipment, Large Chimney, Penthouse, NONE"</formula1>
    </dataValidation>
    <dataValidation type="list" allowBlank="1" showInputMessage="1" showErrorMessage="1" sqref="N105" xr:uid="{00000000-0002-0000-0400-000003000000}">
      <formula1>"GABLE, ARCH, DOME, NONE"</formula1>
    </dataValidation>
    <dataValidation type="list" allowBlank="1" showInputMessage="1" showErrorMessage="1" sqref="K39 K127 J128 J441 K442" xr:uid="{00000000-0002-0000-0400-000004000000}">
      <formula1>"Low, Normal, High, Post-disaster"</formula1>
    </dataValidation>
    <dataValidation type="list" allowBlank="1" showInputMessage="1" showErrorMessage="1" sqref="H139" xr:uid="{00000000-0002-0000-0400-000005000000}">
      <formula1>"(1/10 years),(1/50 years)"</formula1>
    </dataValidation>
    <dataValidation type="list" showInputMessage="1" showErrorMessage="1" sqref="I182" xr:uid="{00000000-0002-0000-0400-000006000000}">
      <formula1>"a) Main Structural Members and Building as a whole, b) External Pressures and Suctions acting on Secondary Structural Members "</formula1>
    </dataValidation>
    <dataValidation type="list" allowBlank="1" showInputMessage="1" showErrorMessage="1" sqref="Q186" xr:uid="{00000000-0002-0000-0400-000007000000}">
      <formula1>"a) Primary Members (Structural Steel), b) Secondary Members, c) Primary &amp; Secondary Members"</formula1>
    </dataValidation>
    <dataValidation type="list" allowBlank="1" showInputMessage="1" showErrorMessage="1" sqref="F273 L277 L273 F277" xr:uid="{00000000-0002-0000-0400-000008000000}">
      <formula1>"A, B"</formula1>
    </dataValidation>
    <dataValidation type="list" allowBlank="1" showInputMessage="1" showErrorMessage="1" sqref="F280 L280" xr:uid="{00000000-0002-0000-0400-000009000000}">
      <formula1>#REF!</formula1>
    </dataValidation>
    <dataValidation type="list" allowBlank="1" showInputMessage="1" showErrorMessage="1" sqref="K273 C191:L191 AB184:AB186" xr:uid="{00000000-0002-0000-0400-00000A000000}">
      <formula1>$AY$458:$AY$467</formula1>
    </dataValidation>
    <dataValidation type="list" allowBlank="1" showInputMessage="1" showErrorMessage="1" sqref="C185" xr:uid="{00000000-0002-0000-0400-00000B000000}">
      <formula1>"Select the Following, a) Primary Members (Structural Steel), b) Secondary Members, c) Primary &amp; Secondary Members"</formula1>
    </dataValidation>
    <dataValidation type="list" allowBlank="1" showInputMessage="1" showErrorMessage="1" sqref="B124:F124" xr:uid="{00000000-0002-0000-0400-00000C000000}">
      <formula1>"Static Procedure, Dynamic Procedure, Wind Tunnel"</formula1>
    </dataValidation>
    <dataValidation type="list" allowBlank="1" showInputMessage="1" showErrorMessage="1" sqref="F350" xr:uid="{00000000-0002-0000-0400-00000D000000}">
      <formula1>"Dominant Opening (Select), Overhead Door, Roll-up Door, Sectional Overhead Door, High-lift Door, Tilt-up Door, Hangar Door"</formula1>
    </dataValidation>
    <dataValidation type="list" allowBlank="1" showInputMessage="1" showErrorMessage="1" sqref="K38 K126 J440" xr:uid="{00000000-0002-0000-0400-00000E000000}">
      <formula1>"ULS, SLS"</formula1>
    </dataValidation>
    <dataValidation type="list" allowBlank="1" showInputMessage="1" showErrorMessage="1" sqref="C188:G188" xr:uid="{00000000-0002-0000-0400-00000F000000}">
      <formula1>"COLUMNS, BEAMS, GIRDERS, BRACED FRAMES / BRACES, TRUSSES, MOMENT FRAMES, DIAPHRAGMS, JOISTS, NONE"</formula1>
    </dataValidation>
    <dataValidation type="list" allowBlank="1" showInputMessage="1" showErrorMessage="1" sqref="L279 F279 F275 L275" xr:uid="{00000000-0002-0000-0400-000010000000}">
      <formula1>$E$264:$P$264</formula1>
    </dataValidation>
    <dataValidation type="list" allowBlank="1" showInputMessage="1" showErrorMessage="1" sqref="T135 WME136:WMI136 WCI136:WCM136 VSM136:VSQ136 VIQ136:VIU136 UYU136:UYY136 UOY136:UPC136 UFC136:UFG136 TVG136:TVK136 TLK136:TLO136 TBO136:TBS136 SRS136:SRW136 SHW136:SIA136 RYA136:RYE136 ROE136:ROI136 REI136:REM136 QUM136:QUQ136 QKQ136:QKU136 QAU136:QAY136 PQY136:PRC136 PHC136:PHG136 OXG136:OXK136 ONK136:ONO136 ODO136:ODS136 NTS136:NTW136 NJW136:NKA136 NAA136:NAE136 MQE136:MQI136 MGI136:MGM136 LWM136:LWQ136 LMQ136:LMU136 LCU136:LCY136 KSY136:KTC136 KJC136:KJG136 JZG136:JZK136 JPK136:JPO136 JFO136:JFS136 IVS136:IVW136 ILW136:IMA136 ICA136:ICE136 HSE136:HSI136 HII136:HIM136 GYM136:GYQ136 GOQ136:GOU136 GEU136:GEY136 FUY136:FVC136 FLC136:FLG136 FBG136:FBK136 ERK136:ERO136 EHO136:EHS136 DXS136:DXW136 DNW136:DOA136 DEA136:DEE136 CUE136:CUI136 CKI136:CKM136 CAM136:CAQ136 BQQ136:BQU136 BGU136:BGY136 AWY136:AXC136 ANC136:ANG136 ADG136:ADK136 TK136:TO136 JO65918:JS65918 TK65918:TO65918 ADG65918:ADK65918 ANC65918:ANG65918 AWY65918:AXC65918 BGU65918:BGY65918 BQQ65918:BQU65918 CAM65918:CAQ65918 CKI65918:CKM65918 CUE65918:CUI65918 DEA65918:DEE65918 DNW65918:DOA65918 DXS65918:DXW65918 EHO65918:EHS65918 ERK65918:ERO65918 FBG65918:FBK65918 FLC65918:FLG65918 FUY65918:FVC65918 GEU65918:GEY65918 GOQ65918:GOU65918 GYM65918:GYQ65918 HII65918:HIM65918 HSE65918:HSI65918 ICA65918:ICE65918 ILW65918:IMA65918 IVS65918:IVW65918 JFO65918:JFS65918 JPK65918:JPO65918 JZG65918:JZK65918 KJC65918:KJG65918 KSY65918:KTC65918 LCU65918:LCY65918 LMQ65918:LMU65918 LWM65918:LWQ65918 MGI65918:MGM65918 MQE65918:MQI65918 NAA65918:NAE65918 NJW65918:NKA65918 NTS65918:NTW65918 ODO65918:ODS65918 ONK65918:ONO65918 OXG65918:OXK65918 PHC65918:PHG65918 PQY65918:PRC65918 QAU65918:QAY65918 QKQ65918:QKU65918 QUM65918:QUQ65918 REI65918:REM65918 ROE65918:ROI65918 RYA65918:RYE65918 SHW65918:SIA65918 SRS65918:SRW65918 TBO65918:TBS65918 TLK65918:TLO65918 TVG65918:TVK65918 UFC65918:UFG65918 UOY65918:UPC65918 UYU65918:UYY65918 VIQ65918:VIU65918 VSM65918:VSQ65918 WCI65918:WCM65918 WME65918:WMI65918 WWA65918:WWE65918 JO131454:JS131454 TK131454:TO131454 ADG131454:ADK131454 ANC131454:ANG131454 AWY131454:AXC131454 BGU131454:BGY131454 BQQ131454:BQU131454 CAM131454:CAQ131454 CKI131454:CKM131454 CUE131454:CUI131454 DEA131454:DEE131454 DNW131454:DOA131454 DXS131454:DXW131454 EHO131454:EHS131454 ERK131454:ERO131454 FBG131454:FBK131454 FLC131454:FLG131454 FUY131454:FVC131454 GEU131454:GEY131454 GOQ131454:GOU131454 GYM131454:GYQ131454 HII131454:HIM131454 HSE131454:HSI131454 ICA131454:ICE131454 ILW131454:IMA131454 IVS131454:IVW131454 JFO131454:JFS131454 JPK131454:JPO131454 JZG131454:JZK131454 KJC131454:KJG131454 KSY131454:KTC131454 LCU131454:LCY131454 LMQ131454:LMU131454 LWM131454:LWQ131454 MGI131454:MGM131454 MQE131454:MQI131454 NAA131454:NAE131454 NJW131454:NKA131454 NTS131454:NTW131454 ODO131454:ODS131454 ONK131454:ONO131454 OXG131454:OXK131454 PHC131454:PHG131454 PQY131454:PRC131454 QAU131454:QAY131454 QKQ131454:QKU131454 QUM131454:QUQ131454 REI131454:REM131454 ROE131454:ROI131454 RYA131454:RYE131454 SHW131454:SIA131454 SRS131454:SRW131454 TBO131454:TBS131454 TLK131454:TLO131454 TVG131454:TVK131454 UFC131454:UFG131454 UOY131454:UPC131454 UYU131454:UYY131454 VIQ131454:VIU131454 VSM131454:VSQ131454 WCI131454:WCM131454 WME131454:WMI131454 WWA131454:WWE131454 JO196990:JS196990 TK196990:TO196990 ADG196990:ADK196990 ANC196990:ANG196990 AWY196990:AXC196990 BGU196990:BGY196990 BQQ196990:BQU196990 CAM196990:CAQ196990 CKI196990:CKM196990 CUE196990:CUI196990 DEA196990:DEE196990 DNW196990:DOA196990 DXS196990:DXW196990 EHO196990:EHS196990 ERK196990:ERO196990 FBG196990:FBK196990 FLC196990:FLG196990 FUY196990:FVC196990 GEU196990:GEY196990 GOQ196990:GOU196990 GYM196990:GYQ196990 HII196990:HIM196990 HSE196990:HSI196990 ICA196990:ICE196990 ILW196990:IMA196990 IVS196990:IVW196990 JFO196990:JFS196990 JPK196990:JPO196990 JZG196990:JZK196990 KJC196990:KJG196990 KSY196990:KTC196990 LCU196990:LCY196990 LMQ196990:LMU196990 LWM196990:LWQ196990 MGI196990:MGM196990 MQE196990:MQI196990 NAA196990:NAE196990 NJW196990:NKA196990 NTS196990:NTW196990 ODO196990:ODS196990 ONK196990:ONO196990 OXG196990:OXK196990 PHC196990:PHG196990 PQY196990:PRC196990 QAU196990:QAY196990 QKQ196990:QKU196990 QUM196990:QUQ196990 REI196990:REM196990 ROE196990:ROI196990 RYA196990:RYE196990 SHW196990:SIA196990 SRS196990:SRW196990 TBO196990:TBS196990 TLK196990:TLO196990 TVG196990:TVK196990 UFC196990:UFG196990 UOY196990:UPC196990 UYU196990:UYY196990 VIQ196990:VIU196990 VSM196990:VSQ196990 WCI196990:WCM196990 WME196990:WMI196990 WWA196990:WWE196990 JO262526:JS262526 TK262526:TO262526 ADG262526:ADK262526 ANC262526:ANG262526 AWY262526:AXC262526 BGU262526:BGY262526 BQQ262526:BQU262526 CAM262526:CAQ262526 CKI262526:CKM262526 CUE262526:CUI262526 DEA262526:DEE262526 DNW262526:DOA262526 DXS262526:DXW262526 EHO262526:EHS262526 ERK262526:ERO262526 FBG262526:FBK262526 FLC262526:FLG262526 FUY262526:FVC262526 GEU262526:GEY262526 GOQ262526:GOU262526 GYM262526:GYQ262526 HII262526:HIM262526 HSE262526:HSI262526 ICA262526:ICE262526 ILW262526:IMA262526 IVS262526:IVW262526 JFO262526:JFS262526 JPK262526:JPO262526 JZG262526:JZK262526 KJC262526:KJG262526 KSY262526:KTC262526 LCU262526:LCY262526 LMQ262526:LMU262526 LWM262526:LWQ262526 MGI262526:MGM262526 MQE262526:MQI262526 NAA262526:NAE262526 NJW262526:NKA262526 NTS262526:NTW262526 ODO262526:ODS262526 ONK262526:ONO262526 OXG262526:OXK262526 PHC262526:PHG262526 PQY262526:PRC262526 QAU262526:QAY262526 QKQ262526:QKU262526 QUM262526:QUQ262526 REI262526:REM262526 ROE262526:ROI262526 RYA262526:RYE262526 SHW262526:SIA262526 SRS262526:SRW262526 TBO262526:TBS262526 TLK262526:TLO262526 TVG262526:TVK262526 UFC262526:UFG262526 UOY262526:UPC262526 UYU262526:UYY262526 VIQ262526:VIU262526 VSM262526:VSQ262526 WCI262526:WCM262526 WME262526:WMI262526 WWA262526:WWE262526 JO328062:JS328062 TK328062:TO328062 ADG328062:ADK328062 ANC328062:ANG328062 AWY328062:AXC328062 BGU328062:BGY328062 BQQ328062:BQU328062 CAM328062:CAQ328062 CKI328062:CKM328062 CUE328062:CUI328062 DEA328062:DEE328062 DNW328062:DOA328062 DXS328062:DXW328062 EHO328062:EHS328062 ERK328062:ERO328062 FBG328062:FBK328062 FLC328062:FLG328062 FUY328062:FVC328062 GEU328062:GEY328062 GOQ328062:GOU328062 GYM328062:GYQ328062 HII328062:HIM328062 HSE328062:HSI328062 ICA328062:ICE328062 ILW328062:IMA328062 IVS328062:IVW328062 JFO328062:JFS328062 JPK328062:JPO328062 JZG328062:JZK328062 KJC328062:KJG328062 KSY328062:KTC328062 LCU328062:LCY328062 LMQ328062:LMU328062 LWM328062:LWQ328062 MGI328062:MGM328062 MQE328062:MQI328062 NAA328062:NAE328062 NJW328062:NKA328062 NTS328062:NTW328062 ODO328062:ODS328062 ONK328062:ONO328062 OXG328062:OXK328062 PHC328062:PHG328062 PQY328062:PRC328062 QAU328062:QAY328062 QKQ328062:QKU328062 QUM328062:QUQ328062 REI328062:REM328062 ROE328062:ROI328062 RYA328062:RYE328062 SHW328062:SIA328062 SRS328062:SRW328062 TBO328062:TBS328062 TLK328062:TLO328062 TVG328062:TVK328062 UFC328062:UFG328062 UOY328062:UPC328062 UYU328062:UYY328062 VIQ328062:VIU328062 VSM328062:VSQ328062 WCI328062:WCM328062 WME328062:WMI328062 WWA328062:WWE328062 JO393598:JS393598 TK393598:TO393598 ADG393598:ADK393598 ANC393598:ANG393598 AWY393598:AXC393598 BGU393598:BGY393598 BQQ393598:BQU393598 CAM393598:CAQ393598 CKI393598:CKM393598 CUE393598:CUI393598 DEA393598:DEE393598 DNW393598:DOA393598 DXS393598:DXW393598 EHO393598:EHS393598 ERK393598:ERO393598 FBG393598:FBK393598 FLC393598:FLG393598 FUY393598:FVC393598 GEU393598:GEY393598 GOQ393598:GOU393598 GYM393598:GYQ393598 HII393598:HIM393598 HSE393598:HSI393598 ICA393598:ICE393598 ILW393598:IMA393598 IVS393598:IVW393598 JFO393598:JFS393598 JPK393598:JPO393598 JZG393598:JZK393598 KJC393598:KJG393598 KSY393598:KTC393598 LCU393598:LCY393598 LMQ393598:LMU393598 LWM393598:LWQ393598 MGI393598:MGM393598 MQE393598:MQI393598 NAA393598:NAE393598 NJW393598:NKA393598 NTS393598:NTW393598 ODO393598:ODS393598 ONK393598:ONO393598 OXG393598:OXK393598 PHC393598:PHG393598 PQY393598:PRC393598 QAU393598:QAY393598 QKQ393598:QKU393598 QUM393598:QUQ393598 REI393598:REM393598 ROE393598:ROI393598 RYA393598:RYE393598 SHW393598:SIA393598 SRS393598:SRW393598 TBO393598:TBS393598 TLK393598:TLO393598 TVG393598:TVK393598 UFC393598:UFG393598 UOY393598:UPC393598 UYU393598:UYY393598 VIQ393598:VIU393598 VSM393598:VSQ393598 WCI393598:WCM393598 WME393598:WMI393598 WWA393598:WWE393598 JO459134:JS459134 TK459134:TO459134 ADG459134:ADK459134 ANC459134:ANG459134 AWY459134:AXC459134 BGU459134:BGY459134 BQQ459134:BQU459134 CAM459134:CAQ459134 CKI459134:CKM459134 CUE459134:CUI459134 DEA459134:DEE459134 DNW459134:DOA459134 DXS459134:DXW459134 EHO459134:EHS459134 ERK459134:ERO459134 FBG459134:FBK459134 FLC459134:FLG459134 FUY459134:FVC459134 GEU459134:GEY459134 GOQ459134:GOU459134 GYM459134:GYQ459134 HII459134:HIM459134 HSE459134:HSI459134 ICA459134:ICE459134 ILW459134:IMA459134 IVS459134:IVW459134 JFO459134:JFS459134 JPK459134:JPO459134 JZG459134:JZK459134 KJC459134:KJG459134 KSY459134:KTC459134 LCU459134:LCY459134 LMQ459134:LMU459134 LWM459134:LWQ459134 MGI459134:MGM459134 MQE459134:MQI459134 NAA459134:NAE459134 NJW459134:NKA459134 NTS459134:NTW459134 ODO459134:ODS459134 ONK459134:ONO459134 OXG459134:OXK459134 PHC459134:PHG459134 PQY459134:PRC459134 QAU459134:QAY459134 QKQ459134:QKU459134 QUM459134:QUQ459134 REI459134:REM459134 ROE459134:ROI459134 RYA459134:RYE459134 SHW459134:SIA459134 SRS459134:SRW459134 TBO459134:TBS459134 TLK459134:TLO459134 TVG459134:TVK459134 UFC459134:UFG459134 UOY459134:UPC459134 UYU459134:UYY459134 VIQ459134:VIU459134 VSM459134:VSQ459134 WCI459134:WCM459134 WME459134:WMI459134 WWA459134:WWE459134 JO524670:JS524670 TK524670:TO524670 ADG524670:ADK524670 ANC524670:ANG524670 AWY524670:AXC524670 BGU524670:BGY524670 BQQ524670:BQU524670 CAM524670:CAQ524670 CKI524670:CKM524670 CUE524670:CUI524670 DEA524670:DEE524670 DNW524670:DOA524670 DXS524670:DXW524670 EHO524670:EHS524670 ERK524670:ERO524670 FBG524670:FBK524670 FLC524670:FLG524670 FUY524670:FVC524670 GEU524670:GEY524670 GOQ524670:GOU524670 GYM524670:GYQ524670 HII524670:HIM524670 HSE524670:HSI524670 ICA524670:ICE524670 ILW524670:IMA524670 IVS524670:IVW524670 JFO524670:JFS524670 JPK524670:JPO524670 JZG524670:JZK524670 KJC524670:KJG524670 KSY524670:KTC524670 LCU524670:LCY524670 LMQ524670:LMU524670 LWM524670:LWQ524670 MGI524670:MGM524670 MQE524670:MQI524670 NAA524670:NAE524670 NJW524670:NKA524670 NTS524670:NTW524670 ODO524670:ODS524670 ONK524670:ONO524670 OXG524670:OXK524670 PHC524670:PHG524670 PQY524670:PRC524670 QAU524670:QAY524670 QKQ524670:QKU524670 QUM524670:QUQ524670 REI524670:REM524670 ROE524670:ROI524670 RYA524670:RYE524670 SHW524670:SIA524670 SRS524670:SRW524670 TBO524670:TBS524670 TLK524670:TLO524670 TVG524670:TVK524670 UFC524670:UFG524670 UOY524670:UPC524670 UYU524670:UYY524670 VIQ524670:VIU524670 VSM524670:VSQ524670 WCI524670:WCM524670 WME524670:WMI524670 WWA524670:WWE524670 JO590206:JS590206 TK590206:TO590206 ADG590206:ADK590206 ANC590206:ANG590206 AWY590206:AXC590206 BGU590206:BGY590206 BQQ590206:BQU590206 CAM590206:CAQ590206 CKI590206:CKM590206 CUE590206:CUI590206 DEA590206:DEE590206 DNW590206:DOA590206 DXS590206:DXW590206 EHO590206:EHS590206 ERK590206:ERO590206 FBG590206:FBK590206 FLC590206:FLG590206 FUY590206:FVC590206 GEU590206:GEY590206 GOQ590206:GOU590206 GYM590206:GYQ590206 HII590206:HIM590206 HSE590206:HSI590206 ICA590206:ICE590206 ILW590206:IMA590206 IVS590206:IVW590206 JFO590206:JFS590206 JPK590206:JPO590206 JZG590206:JZK590206 KJC590206:KJG590206 KSY590206:KTC590206 LCU590206:LCY590206 LMQ590206:LMU590206 LWM590206:LWQ590206 MGI590206:MGM590206 MQE590206:MQI590206 NAA590206:NAE590206 NJW590206:NKA590206 NTS590206:NTW590206 ODO590206:ODS590206 ONK590206:ONO590206 OXG590206:OXK590206 PHC590206:PHG590206 PQY590206:PRC590206 QAU590206:QAY590206 QKQ590206:QKU590206 QUM590206:QUQ590206 REI590206:REM590206 ROE590206:ROI590206 RYA590206:RYE590206 SHW590206:SIA590206 SRS590206:SRW590206 TBO590206:TBS590206 TLK590206:TLO590206 TVG590206:TVK590206 UFC590206:UFG590206 UOY590206:UPC590206 UYU590206:UYY590206 VIQ590206:VIU590206 VSM590206:VSQ590206 WCI590206:WCM590206 WME590206:WMI590206 WWA590206:WWE590206 JO655742:JS655742 TK655742:TO655742 ADG655742:ADK655742 ANC655742:ANG655742 AWY655742:AXC655742 BGU655742:BGY655742 BQQ655742:BQU655742 CAM655742:CAQ655742 CKI655742:CKM655742 CUE655742:CUI655742 DEA655742:DEE655742 DNW655742:DOA655742 DXS655742:DXW655742 EHO655742:EHS655742 ERK655742:ERO655742 FBG655742:FBK655742 FLC655742:FLG655742 FUY655742:FVC655742 GEU655742:GEY655742 GOQ655742:GOU655742 GYM655742:GYQ655742 HII655742:HIM655742 HSE655742:HSI655742 ICA655742:ICE655742 ILW655742:IMA655742 IVS655742:IVW655742 JFO655742:JFS655742 JPK655742:JPO655742 JZG655742:JZK655742 KJC655742:KJG655742 KSY655742:KTC655742 LCU655742:LCY655742 LMQ655742:LMU655742 LWM655742:LWQ655742 MGI655742:MGM655742 MQE655742:MQI655742 NAA655742:NAE655742 NJW655742:NKA655742 NTS655742:NTW655742 ODO655742:ODS655742 ONK655742:ONO655742 OXG655742:OXK655742 PHC655742:PHG655742 PQY655742:PRC655742 QAU655742:QAY655742 QKQ655742:QKU655742 QUM655742:QUQ655742 REI655742:REM655742 ROE655742:ROI655742 RYA655742:RYE655742 SHW655742:SIA655742 SRS655742:SRW655742 TBO655742:TBS655742 TLK655742:TLO655742 TVG655742:TVK655742 UFC655742:UFG655742 UOY655742:UPC655742 UYU655742:UYY655742 VIQ655742:VIU655742 VSM655742:VSQ655742 WCI655742:WCM655742 WME655742:WMI655742 WWA655742:WWE655742 JO721278:JS721278 TK721278:TO721278 ADG721278:ADK721278 ANC721278:ANG721278 AWY721278:AXC721278 BGU721278:BGY721278 BQQ721278:BQU721278 CAM721278:CAQ721278 CKI721278:CKM721278 CUE721278:CUI721278 DEA721278:DEE721278 DNW721278:DOA721278 DXS721278:DXW721278 EHO721278:EHS721278 ERK721278:ERO721278 FBG721278:FBK721278 FLC721278:FLG721278 FUY721278:FVC721278 GEU721278:GEY721278 GOQ721278:GOU721278 GYM721278:GYQ721278 HII721278:HIM721278 HSE721278:HSI721278 ICA721278:ICE721278 ILW721278:IMA721278 IVS721278:IVW721278 JFO721278:JFS721278 JPK721278:JPO721278 JZG721278:JZK721278 KJC721278:KJG721278 KSY721278:KTC721278 LCU721278:LCY721278 LMQ721278:LMU721278 LWM721278:LWQ721278 MGI721278:MGM721278 MQE721278:MQI721278 NAA721278:NAE721278 NJW721278:NKA721278 NTS721278:NTW721278 ODO721278:ODS721278 ONK721278:ONO721278 OXG721278:OXK721278 PHC721278:PHG721278 PQY721278:PRC721278 QAU721278:QAY721278 QKQ721278:QKU721278 QUM721278:QUQ721278 REI721278:REM721278 ROE721278:ROI721278 RYA721278:RYE721278 SHW721278:SIA721278 SRS721278:SRW721278 TBO721278:TBS721278 TLK721278:TLO721278 TVG721278:TVK721278 UFC721278:UFG721278 UOY721278:UPC721278 UYU721278:UYY721278 VIQ721278:VIU721278 VSM721278:VSQ721278 WCI721278:WCM721278 WME721278:WMI721278 WWA721278:WWE721278 JO786814:JS786814 TK786814:TO786814 ADG786814:ADK786814 ANC786814:ANG786814 AWY786814:AXC786814 BGU786814:BGY786814 BQQ786814:BQU786814 CAM786814:CAQ786814 CKI786814:CKM786814 CUE786814:CUI786814 DEA786814:DEE786814 DNW786814:DOA786814 DXS786814:DXW786814 EHO786814:EHS786814 ERK786814:ERO786814 FBG786814:FBK786814 FLC786814:FLG786814 FUY786814:FVC786814 GEU786814:GEY786814 GOQ786814:GOU786814 GYM786814:GYQ786814 HII786814:HIM786814 HSE786814:HSI786814 ICA786814:ICE786814 ILW786814:IMA786814 IVS786814:IVW786814 JFO786814:JFS786814 JPK786814:JPO786814 JZG786814:JZK786814 KJC786814:KJG786814 KSY786814:KTC786814 LCU786814:LCY786814 LMQ786814:LMU786814 LWM786814:LWQ786814 MGI786814:MGM786814 MQE786814:MQI786814 NAA786814:NAE786814 NJW786814:NKA786814 NTS786814:NTW786814 ODO786814:ODS786814 ONK786814:ONO786814 OXG786814:OXK786814 PHC786814:PHG786814 PQY786814:PRC786814 QAU786814:QAY786814 QKQ786814:QKU786814 QUM786814:QUQ786814 REI786814:REM786814 ROE786814:ROI786814 RYA786814:RYE786814 SHW786814:SIA786814 SRS786814:SRW786814 TBO786814:TBS786814 TLK786814:TLO786814 TVG786814:TVK786814 UFC786814:UFG786814 UOY786814:UPC786814 UYU786814:UYY786814 VIQ786814:VIU786814 VSM786814:VSQ786814 WCI786814:WCM786814 WME786814:WMI786814 WWA786814:WWE786814 JO852350:JS852350 TK852350:TO852350 ADG852350:ADK852350 ANC852350:ANG852350 AWY852350:AXC852350 BGU852350:BGY852350 BQQ852350:BQU852350 CAM852350:CAQ852350 CKI852350:CKM852350 CUE852350:CUI852350 DEA852350:DEE852350 DNW852350:DOA852350 DXS852350:DXW852350 EHO852350:EHS852350 ERK852350:ERO852350 FBG852350:FBK852350 FLC852350:FLG852350 FUY852350:FVC852350 GEU852350:GEY852350 GOQ852350:GOU852350 GYM852350:GYQ852350 HII852350:HIM852350 HSE852350:HSI852350 ICA852350:ICE852350 ILW852350:IMA852350 IVS852350:IVW852350 JFO852350:JFS852350 JPK852350:JPO852350 JZG852350:JZK852350 KJC852350:KJG852350 KSY852350:KTC852350 LCU852350:LCY852350 LMQ852350:LMU852350 LWM852350:LWQ852350 MGI852350:MGM852350 MQE852350:MQI852350 NAA852350:NAE852350 NJW852350:NKA852350 NTS852350:NTW852350 ODO852350:ODS852350 ONK852350:ONO852350 OXG852350:OXK852350 PHC852350:PHG852350 PQY852350:PRC852350 QAU852350:QAY852350 QKQ852350:QKU852350 QUM852350:QUQ852350 REI852350:REM852350 ROE852350:ROI852350 RYA852350:RYE852350 SHW852350:SIA852350 SRS852350:SRW852350 TBO852350:TBS852350 TLK852350:TLO852350 TVG852350:TVK852350 UFC852350:UFG852350 UOY852350:UPC852350 UYU852350:UYY852350 VIQ852350:VIU852350 VSM852350:VSQ852350 WCI852350:WCM852350 WME852350:WMI852350 WWA852350:WWE852350 JO917886:JS917886 TK917886:TO917886 ADG917886:ADK917886 ANC917886:ANG917886 AWY917886:AXC917886 BGU917886:BGY917886 BQQ917886:BQU917886 CAM917886:CAQ917886 CKI917886:CKM917886 CUE917886:CUI917886 DEA917886:DEE917886 DNW917886:DOA917886 DXS917886:DXW917886 EHO917886:EHS917886 ERK917886:ERO917886 FBG917886:FBK917886 FLC917886:FLG917886 FUY917886:FVC917886 GEU917886:GEY917886 GOQ917886:GOU917886 GYM917886:GYQ917886 HII917886:HIM917886 HSE917886:HSI917886 ICA917886:ICE917886 ILW917886:IMA917886 IVS917886:IVW917886 JFO917886:JFS917886 JPK917886:JPO917886 JZG917886:JZK917886 KJC917886:KJG917886 KSY917886:KTC917886 LCU917886:LCY917886 LMQ917886:LMU917886 LWM917886:LWQ917886 MGI917886:MGM917886 MQE917886:MQI917886 NAA917886:NAE917886 NJW917886:NKA917886 NTS917886:NTW917886 ODO917886:ODS917886 ONK917886:ONO917886 OXG917886:OXK917886 PHC917886:PHG917886 PQY917886:PRC917886 QAU917886:QAY917886 QKQ917886:QKU917886 QUM917886:QUQ917886 REI917886:REM917886 ROE917886:ROI917886 RYA917886:RYE917886 SHW917886:SIA917886 SRS917886:SRW917886 TBO917886:TBS917886 TLK917886:TLO917886 TVG917886:TVK917886 UFC917886:UFG917886 UOY917886:UPC917886 UYU917886:UYY917886 VIQ917886:VIU917886 VSM917886:VSQ917886 WCI917886:WCM917886 WME917886:WMI917886 WWA917886:WWE917886 JO983422:JS983422 TK983422:TO983422 ADG983422:ADK983422 ANC983422:ANG983422 AWY983422:AXC983422 BGU983422:BGY983422 BQQ983422:BQU983422 CAM983422:CAQ983422 CKI983422:CKM983422 CUE983422:CUI983422 DEA983422:DEE983422 DNW983422:DOA983422 DXS983422:DXW983422 EHO983422:EHS983422 ERK983422:ERO983422 FBG983422:FBK983422 FLC983422:FLG983422 FUY983422:FVC983422 GEU983422:GEY983422 GOQ983422:GOU983422 GYM983422:GYQ983422 HII983422:HIM983422 HSE983422:HSI983422 ICA983422:ICE983422 ILW983422:IMA983422 IVS983422:IVW983422 JFO983422:JFS983422 JPK983422:JPO983422 JZG983422:JZK983422 KJC983422:KJG983422 KSY983422:KTC983422 LCU983422:LCY983422 LMQ983422:LMU983422 LWM983422:LWQ983422 MGI983422:MGM983422 MQE983422:MQI983422 NAA983422:NAE983422 NJW983422:NKA983422 NTS983422:NTW983422 ODO983422:ODS983422 ONK983422:ONO983422 OXG983422:OXK983422 PHC983422:PHG983422 PQY983422:PRC983422 QAU983422:QAY983422 QKQ983422:QKU983422 QUM983422:QUQ983422 REI983422:REM983422 ROE983422:ROI983422 RYA983422:RYE983422 SHW983422:SIA983422 SRS983422:SRW983422 TBO983422:TBS983422 TLK983422:TLO983422 TVG983422:TVK983422 UFC983422:UFG983422 UOY983422:UPC983422 UYU983422:UYY983422 VIQ983422:VIU983422 VSM983422:VSQ983422 WCI983422:WCM983422 WME983422:WMI983422 WWA983422:WWE983422 S983435:U983435 V983434:W983434 S917899:U917899 V917898:W917898 S852363:U852363 V852362:W852362 S786827:U786827 V786826:W786826 S721291:U721291 V721290:W721290 S655755:U655755 V655754:W655754 S590219:U590219 V590218:W590218 S524683:U524683 V524682:W524682 S459147:U459147 V459146:W459146 S393611:U393611 V393610:W393610 S328075:U328075 V328074:W328074 S262539:U262539 V262538:W262538 S197003:U197003 V197002:W197002 S131467:U131467 V131466:W131466 S65931:U65931 V65930:W65930 JO136:JS136 WWA136:WWE136 I336 H164 M139" xr:uid="{00000000-0002-0000-0400-000011000000}">
      <formula1>$AR$145:$AR$146</formula1>
    </dataValidation>
    <dataValidation type="list" allowBlank="1" showInputMessage="1" showErrorMessage="1" sqref="F274 L278 L274 F278" xr:uid="{00000000-0002-0000-0400-000012000000}">
      <formula1>$AT$166:$AX$166</formula1>
    </dataValidation>
    <dataValidation type="list" allowBlank="1" showInputMessage="1" showErrorMessage="1" sqref="E19:F19" xr:uid="{00000000-0002-0000-0400-000013000000}">
      <formula1>Province_List</formula1>
    </dataValidation>
    <dataValidation type="list" allowBlank="1" showInputMessage="1" showErrorMessage="1" sqref="E20:F20" xr:uid="{AD6299AC-4D20-4043-8652-F4ADCAB63BB9}">
      <formula1>INDIRECT("Cities_" &amp; SUBSTITUTE(E19," ",""))</formula1>
    </dataValidation>
  </dataValidations>
  <hyperlinks>
    <hyperlink ref="C453" r:id="rId1" xr:uid="{00000000-0004-0000-0400-000000000000}"/>
    <hyperlink ref="C454" r:id="rId2" display="https://ags.aer.ca/interactive-data-and-tools/coordinate-conversion-tools/ats-geographic-degrees" xr:uid="{00000000-0004-0000-0400-000001000000}"/>
    <hyperlink ref="C455" r:id="rId3" display="https://geology-ags-aer.opendata.arcgis.com/datasets/ags-aer::alberta-earthquakes/about" xr:uid="{00000000-0004-0000-0400-000002000000}"/>
    <hyperlink ref="C458" r:id="rId4" display="https://www.seismescanada.rncan.gc.ca/hazard-alea/interpolat/nbc2020-cnb2020-en.php?code=nbc2020&amp;latitude=60.722&amp;longitude=-135.054&amp;siteDesignation=XS&amp;siteDesignationXS=C" xr:uid="{00000000-0004-0000-0400-000003000000}"/>
  </hyperlinks>
  <pageMargins left="0.7" right="0.7" top="0.75" bottom="0.75" header="0.3" footer="0.3"/>
  <pageSetup scale="28" orientation="portrait" r:id="rId5"/>
  <rowBreaks count="4" manualBreakCount="4">
    <brk id="115" max="18" man="1"/>
    <brk id="196" max="18" man="1"/>
    <brk id="320" max="18" man="1"/>
    <brk id="430" max="18" man="1"/>
  </rowBreaks>
  <drawing r:id="rId6"/>
  <legacyDrawing r:id="rId7"/>
  <tableParts count="2">
    <tablePart r:id="rId8"/>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310E2-C338-4DAF-B16D-A240E7FA0F2D}">
  <sheetPr codeName="Sheet16"/>
  <dimension ref="A8:BT863"/>
  <sheetViews>
    <sheetView view="pageBreakPreview" topLeftCell="A366" zoomScale="80" zoomScaleNormal="100" zoomScaleSheetLayoutView="80" zoomScalePageLayoutView="70" workbookViewId="0">
      <selection activeCell="K390" sqref="K390:K396"/>
    </sheetView>
  </sheetViews>
  <sheetFormatPr defaultColWidth="2.7265625" defaultRowHeight="13" x14ac:dyDescent="0.3"/>
  <cols>
    <col min="1" max="1" width="2.7265625" style="2" customWidth="1"/>
    <col min="2" max="2" width="3" style="2" customWidth="1"/>
    <col min="3" max="3" width="11.54296875" style="2" customWidth="1"/>
    <col min="4" max="4" width="9.81640625" style="2" customWidth="1"/>
    <col min="5" max="5" width="13.54296875" style="2" customWidth="1"/>
    <col min="6" max="6" width="14.36328125" style="2" customWidth="1"/>
    <col min="7" max="7" width="12.1796875" style="2" customWidth="1"/>
    <col min="8" max="8" width="13.453125" style="2" customWidth="1"/>
    <col min="9" max="9" width="10.26953125" style="2" customWidth="1"/>
    <col min="10" max="10" width="10.36328125" style="2" customWidth="1"/>
    <col min="11" max="11" width="11" style="2" customWidth="1"/>
    <col min="12" max="12" width="11.1796875" style="2" customWidth="1"/>
    <col min="13" max="13" width="10.08984375" style="2" customWidth="1"/>
    <col min="14" max="14" width="12.453125" style="30" customWidth="1"/>
    <col min="15" max="15" width="12.90625" style="2" customWidth="1"/>
    <col min="16" max="16" width="12.81640625" style="2" customWidth="1"/>
    <col min="17" max="17" width="11.36328125" style="2" customWidth="1"/>
    <col min="18" max="19" width="13.36328125" style="2" customWidth="1"/>
    <col min="20" max="20" width="15.6328125" style="2" customWidth="1"/>
    <col min="21" max="21" width="15.54296875" style="2" customWidth="1"/>
    <col min="22" max="22" width="16.7265625" style="2" customWidth="1"/>
    <col min="23" max="23" width="17.6328125" style="2" customWidth="1"/>
    <col min="24" max="24" width="6.26953125" style="2" customWidth="1"/>
    <col min="25" max="25" width="9" style="2" customWidth="1"/>
    <col min="26" max="26" width="8.26953125" style="2" customWidth="1"/>
    <col min="27" max="27" width="17.453125" style="2" customWidth="1"/>
    <col min="28" max="28" width="2.7265625" style="2" customWidth="1"/>
    <col min="29" max="29" width="12.1796875" style="2" customWidth="1"/>
    <col min="30" max="30" width="19.36328125" style="2" customWidth="1"/>
    <col min="31" max="31" width="7.6328125" style="2" customWidth="1"/>
    <col min="32" max="32" width="12.6328125" style="2" customWidth="1"/>
    <col min="33" max="33" width="13.26953125" style="2" customWidth="1"/>
    <col min="34" max="34" width="15.7265625" style="2" customWidth="1"/>
    <col min="35" max="35" width="14.81640625" style="2" customWidth="1"/>
    <col min="36" max="36" width="10.54296875" style="3" customWidth="1"/>
    <col min="37" max="37" width="11" style="3" customWidth="1"/>
    <col min="38" max="41" width="12.81640625" style="3" customWidth="1"/>
    <col min="42" max="42" width="20.54296875" style="3" customWidth="1"/>
    <col min="43" max="43" width="20" style="2" customWidth="1"/>
    <col min="44" max="44" width="18.26953125" style="2" customWidth="1"/>
    <col min="45" max="45" width="22.6328125" style="2" customWidth="1"/>
    <col min="46" max="46" width="21" style="2" customWidth="1"/>
    <col min="47" max="187" width="12.81640625" style="2" customWidth="1"/>
    <col min="188" max="257" width="2.7265625" style="2" customWidth="1"/>
    <col min="258" max="258" width="3" style="2" customWidth="1"/>
    <col min="259" max="290" width="2.7265625" style="2" customWidth="1"/>
    <col min="291" max="291" width="14.81640625" style="2" customWidth="1"/>
    <col min="292" max="292" width="7.81640625" style="2" customWidth="1"/>
    <col min="293" max="293" width="8.81640625" style="2" customWidth="1"/>
    <col min="294" max="443" width="12.81640625" style="2" customWidth="1"/>
    <col min="444" max="513" width="2.7265625" style="2" customWidth="1"/>
    <col min="514" max="514" width="3" style="2" customWidth="1"/>
    <col min="515" max="546" width="2.7265625" style="2" customWidth="1"/>
    <col min="547" max="547" width="14.81640625" style="2" customWidth="1"/>
    <col min="548" max="548" width="7.81640625" style="2" customWidth="1"/>
    <col min="549" max="549" width="8.81640625" style="2" customWidth="1"/>
    <col min="550" max="699" width="12.81640625" style="2" customWidth="1"/>
    <col min="700" max="769" width="2.7265625" style="2" customWidth="1"/>
    <col min="770" max="770" width="3" style="2" customWidth="1"/>
    <col min="771" max="802" width="2.7265625" style="2" customWidth="1"/>
    <col min="803" max="803" width="14.81640625" style="2" customWidth="1"/>
    <col min="804" max="804" width="7.81640625" style="2" customWidth="1"/>
    <col min="805" max="805" width="8.81640625" style="2" customWidth="1"/>
    <col min="806" max="955" width="12.81640625" style="2" customWidth="1"/>
    <col min="956" max="1025" width="2.7265625" style="2" customWidth="1"/>
    <col min="1026" max="1026" width="3" style="2" customWidth="1"/>
    <col min="1027" max="1058" width="2.7265625" style="2" customWidth="1"/>
    <col min="1059" max="1059" width="14.81640625" style="2" customWidth="1"/>
    <col min="1060" max="1060" width="7.81640625" style="2" customWidth="1"/>
    <col min="1061" max="1061" width="8.81640625" style="2" customWidth="1"/>
    <col min="1062" max="1211" width="12.81640625" style="2" customWidth="1"/>
    <col min="1212" max="1281" width="2.7265625" style="2" customWidth="1"/>
    <col min="1282" max="1282" width="3" style="2" customWidth="1"/>
    <col min="1283" max="1314" width="2.7265625" style="2" customWidth="1"/>
    <col min="1315" max="1315" width="14.81640625" style="2" customWidth="1"/>
    <col min="1316" max="1316" width="7.81640625" style="2" customWidth="1"/>
    <col min="1317" max="1317" width="8.81640625" style="2" customWidth="1"/>
    <col min="1318" max="1467" width="12.81640625" style="2" customWidth="1"/>
    <col min="1468" max="1537" width="2.7265625" style="2" customWidth="1"/>
    <col min="1538" max="1538" width="3" style="2" customWidth="1"/>
    <col min="1539" max="1570" width="2.7265625" style="2" customWidth="1"/>
    <col min="1571" max="1571" width="14.81640625" style="2" customWidth="1"/>
    <col min="1572" max="1572" width="7.81640625" style="2" customWidth="1"/>
    <col min="1573" max="1573" width="8.81640625" style="2" customWidth="1"/>
    <col min="1574" max="1723" width="12.81640625" style="2" customWidth="1"/>
    <col min="1724" max="1793" width="2.7265625" style="2" customWidth="1"/>
    <col min="1794" max="1794" width="3" style="2" customWidth="1"/>
    <col min="1795" max="1826" width="2.7265625" style="2" customWidth="1"/>
    <col min="1827" max="1827" width="14.81640625" style="2" customWidth="1"/>
    <col min="1828" max="1828" width="7.81640625" style="2" customWidth="1"/>
    <col min="1829" max="1829" width="8.81640625" style="2" customWidth="1"/>
    <col min="1830" max="1979" width="12.81640625" style="2" customWidth="1"/>
    <col min="1980" max="2049" width="2.7265625" style="2" customWidth="1"/>
    <col min="2050" max="2050" width="3" style="2" customWidth="1"/>
    <col min="2051" max="2082" width="2.7265625" style="2" customWidth="1"/>
    <col min="2083" max="2083" width="14.81640625" style="2" customWidth="1"/>
    <col min="2084" max="2084" width="7.81640625" style="2" customWidth="1"/>
    <col min="2085" max="2085" width="8.81640625" style="2" customWidth="1"/>
    <col min="2086" max="2235" width="12.81640625" style="2" customWidth="1"/>
    <col min="2236" max="2305" width="2.7265625" style="2" customWidth="1"/>
    <col min="2306" max="2306" width="3" style="2" customWidth="1"/>
    <col min="2307" max="2338" width="2.7265625" style="2" customWidth="1"/>
    <col min="2339" max="2339" width="14.81640625" style="2" customWidth="1"/>
    <col min="2340" max="2340" width="7.81640625" style="2" customWidth="1"/>
    <col min="2341" max="2341" width="8.81640625" style="2" customWidth="1"/>
    <col min="2342" max="2491" width="12.81640625" style="2" customWidth="1"/>
    <col min="2492" max="2561" width="2.7265625" style="2" customWidth="1"/>
    <col min="2562" max="2562" width="3" style="2" customWidth="1"/>
    <col min="2563" max="2594" width="2.7265625" style="2" customWidth="1"/>
    <col min="2595" max="2595" width="14.81640625" style="2" customWidth="1"/>
    <col min="2596" max="2596" width="7.81640625" style="2" customWidth="1"/>
    <col min="2597" max="2597" width="8.81640625" style="2" customWidth="1"/>
    <col min="2598" max="2747" width="12.81640625" style="2" customWidth="1"/>
    <col min="2748" max="2817" width="2.7265625" style="2" customWidth="1"/>
    <col min="2818" max="2818" width="3" style="2" customWidth="1"/>
    <col min="2819" max="2850" width="2.7265625" style="2" customWidth="1"/>
    <col min="2851" max="2851" width="14.81640625" style="2" customWidth="1"/>
    <col min="2852" max="2852" width="7.81640625" style="2" customWidth="1"/>
    <col min="2853" max="2853" width="8.81640625" style="2" customWidth="1"/>
    <col min="2854" max="3003" width="12.81640625" style="2" customWidth="1"/>
    <col min="3004" max="3073" width="2.7265625" style="2" customWidth="1"/>
    <col min="3074" max="3074" width="3" style="2" customWidth="1"/>
    <col min="3075" max="3106" width="2.7265625" style="2" customWidth="1"/>
    <col min="3107" max="3107" width="14.81640625" style="2" customWidth="1"/>
    <col min="3108" max="3108" width="7.81640625" style="2" customWidth="1"/>
    <col min="3109" max="3109" width="8.81640625" style="2" customWidth="1"/>
    <col min="3110" max="3259" width="12.81640625" style="2" customWidth="1"/>
    <col min="3260" max="3329" width="2.7265625" style="2" customWidth="1"/>
    <col min="3330" max="3330" width="3" style="2" customWidth="1"/>
    <col min="3331" max="3362" width="2.7265625" style="2" customWidth="1"/>
    <col min="3363" max="3363" width="14.81640625" style="2" customWidth="1"/>
    <col min="3364" max="3364" width="7.81640625" style="2" customWidth="1"/>
    <col min="3365" max="3365" width="8.81640625" style="2" customWidth="1"/>
    <col min="3366" max="3515" width="12.81640625" style="2" customWidth="1"/>
    <col min="3516" max="3585" width="2.7265625" style="2" customWidth="1"/>
    <col min="3586" max="3586" width="3" style="2" customWidth="1"/>
    <col min="3587" max="3618" width="2.7265625" style="2" customWidth="1"/>
    <col min="3619" max="3619" width="14.81640625" style="2" customWidth="1"/>
    <col min="3620" max="3620" width="7.81640625" style="2" customWidth="1"/>
    <col min="3621" max="3621" width="8.81640625" style="2" customWidth="1"/>
    <col min="3622" max="3771" width="12.81640625" style="2" customWidth="1"/>
    <col min="3772" max="3841" width="2.7265625" style="2" customWidth="1"/>
    <col min="3842" max="3842" width="3" style="2" customWidth="1"/>
    <col min="3843" max="3874" width="2.7265625" style="2" customWidth="1"/>
    <col min="3875" max="3875" width="14.81640625" style="2" customWidth="1"/>
    <col min="3876" max="3876" width="7.81640625" style="2" customWidth="1"/>
    <col min="3877" max="3877" width="8.81640625" style="2" customWidth="1"/>
    <col min="3878" max="4027" width="12.81640625" style="2" customWidth="1"/>
    <col min="4028" max="4097" width="2.7265625" style="2" customWidth="1"/>
    <col min="4098" max="4098" width="3" style="2" customWidth="1"/>
    <col min="4099" max="4130" width="2.7265625" style="2" customWidth="1"/>
    <col min="4131" max="4131" width="14.81640625" style="2" customWidth="1"/>
    <col min="4132" max="4132" width="7.81640625" style="2" customWidth="1"/>
    <col min="4133" max="4133" width="8.81640625" style="2" customWidth="1"/>
    <col min="4134" max="4283" width="12.81640625" style="2" customWidth="1"/>
    <col min="4284" max="4353" width="2.7265625" style="2" customWidth="1"/>
    <col min="4354" max="4354" width="3" style="2" customWidth="1"/>
    <col min="4355" max="4386" width="2.7265625" style="2" customWidth="1"/>
    <col min="4387" max="4387" width="14.81640625" style="2" customWidth="1"/>
    <col min="4388" max="4388" width="7.81640625" style="2" customWidth="1"/>
    <col min="4389" max="4389" width="8.81640625" style="2" customWidth="1"/>
    <col min="4390" max="4539" width="12.81640625" style="2" customWidth="1"/>
    <col min="4540" max="4609" width="2.7265625" style="2" customWidth="1"/>
    <col min="4610" max="4610" width="3" style="2" customWidth="1"/>
    <col min="4611" max="4642" width="2.7265625" style="2" customWidth="1"/>
    <col min="4643" max="4643" width="14.81640625" style="2" customWidth="1"/>
    <col min="4644" max="4644" width="7.81640625" style="2" customWidth="1"/>
    <col min="4645" max="4645" width="8.81640625" style="2" customWidth="1"/>
    <col min="4646" max="4795" width="12.81640625" style="2" customWidth="1"/>
    <col min="4796" max="4865" width="2.7265625" style="2" customWidth="1"/>
    <col min="4866" max="4866" width="3" style="2" customWidth="1"/>
    <col min="4867" max="4898" width="2.7265625" style="2" customWidth="1"/>
    <col min="4899" max="4899" width="14.81640625" style="2" customWidth="1"/>
    <col min="4900" max="4900" width="7.81640625" style="2" customWidth="1"/>
    <col min="4901" max="4901" width="8.81640625" style="2" customWidth="1"/>
    <col min="4902" max="5051" width="12.81640625" style="2" customWidth="1"/>
    <col min="5052" max="5121" width="2.7265625" style="2" customWidth="1"/>
    <col min="5122" max="5122" width="3" style="2" customWidth="1"/>
    <col min="5123" max="5154" width="2.7265625" style="2" customWidth="1"/>
    <col min="5155" max="5155" width="14.81640625" style="2" customWidth="1"/>
    <col min="5156" max="5156" width="7.81640625" style="2" customWidth="1"/>
    <col min="5157" max="5157" width="8.81640625" style="2" customWidth="1"/>
    <col min="5158" max="5307" width="12.81640625" style="2" customWidth="1"/>
    <col min="5308" max="5377" width="2.7265625" style="2" customWidth="1"/>
    <col min="5378" max="5378" width="3" style="2" customWidth="1"/>
    <col min="5379" max="5410" width="2.7265625" style="2" customWidth="1"/>
    <col min="5411" max="5411" width="14.81640625" style="2" customWidth="1"/>
    <col min="5412" max="5412" width="7.81640625" style="2" customWidth="1"/>
    <col min="5413" max="5413" width="8.81640625" style="2" customWidth="1"/>
    <col min="5414" max="5563" width="12.81640625" style="2" customWidth="1"/>
    <col min="5564" max="5633" width="2.7265625" style="2" customWidth="1"/>
    <col min="5634" max="5634" width="3" style="2" customWidth="1"/>
    <col min="5635" max="5666" width="2.7265625" style="2" customWidth="1"/>
    <col min="5667" max="5667" width="14.81640625" style="2" customWidth="1"/>
    <col min="5668" max="5668" width="7.81640625" style="2" customWidth="1"/>
    <col min="5669" max="5669" width="8.81640625" style="2" customWidth="1"/>
    <col min="5670" max="5819" width="12.81640625" style="2" customWidth="1"/>
    <col min="5820" max="5889" width="2.7265625" style="2" customWidth="1"/>
    <col min="5890" max="5890" width="3" style="2" customWidth="1"/>
    <col min="5891" max="5922" width="2.7265625" style="2" customWidth="1"/>
    <col min="5923" max="5923" width="14.81640625" style="2" customWidth="1"/>
    <col min="5924" max="5924" width="7.81640625" style="2" customWidth="1"/>
    <col min="5925" max="5925" width="8.81640625" style="2" customWidth="1"/>
    <col min="5926" max="6075" width="12.81640625" style="2" customWidth="1"/>
    <col min="6076" max="6145" width="2.7265625" style="2" customWidth="1"/>
    <col min="6146" max="6146" width="3" style="2" customWidth="1"/>
    <col min="6147" max="6178" width="2.7265625" style="2" customWidth="1"/>
    <col min="6179" max="6179" width="14.81640625" style="2" customWidth="1"/>
    <col min="6180" max="6180" width="7.81640625" style="2" customWidth="1"/>
    <col min="6181" max="6181" width="8.81640625" style="2" customWidth="1"/>
    <col min="6182" max="6331" width="12.81640625" style="2" customWidth="1"/>
    <col min="6332" max="6401" width="2.7265625" style="2" customWidth="1"/>
    <col min="6402" max="6402" width="3" style="2" customWidth="1"/>
    <col min="6403" max="6434" width="2.7265625" style="2" customWidth="1"/>
    <col min="6435" max="6435" width="14.81640625" style="2" customWidth="1"/>
    <col min="6436" max="6436" width="7.81640625" style="2" customWidth="1"/>
    <col min="6437" max="6437" width="8.81640625" style="2" customWidth="1"/>
    <col min="6438" max="6587" width="12.81640625" style="2" customWidth="1"/>
    <col min="6588" max="6657" width="2.7265625" style="2" customWidth="1"/>
    <col min="6658" max="6658" width="3" style="2" customWidth="1"/>
    <col min="6659" max="6690" width="2.7265625" style="2" customWidth="1"/>
    <col min="6691" max="6691" width="14.81640625" style="2" customWidth="1"/>
    <col min="6692" max="6692" width="7.81640625" style="2" customWidth="1"/>
    <col min="6693" max="6693" width="8.81640625" style="2" customWidth="1"/>
    <col min="6694" max="6843" width="12.81640625" style="2" customWidth="1"/>
    <col min="6844" max="6913" width="2.7265625" style="2" customWidth="1"/>
    <col min="6914" max="6914" width="3" style="2" customWidth="1"/>
    <col min="6915" max="6946" width="2.7265625" style="2" customWidth="1"/>
    <col min="6947" max="6947" width="14.81640625" style="2" customWidth="1"/>
    <col min="6948" max="6948" width="7.81640625" style="2" customWidth="1"/>
    <col min="6949" max="6949" width="8.81640625" style="2" customWidth="1"/>
    <col min="6950" max="7099" width="12.81640625" style="2" customWidth="1"/>
    <col min="7100" max="7169" width="2.7265625" style="2" customWidth="1"/>
    <col min="7170" max="7170" width="3" style="2" customWidth="1"/>
    <col min="7171" max="7202" width="2.7265625" style="2" customWidth="1"/>
    <col min="7203" max="7203" width="14.81640625" style="2" customWidth="1"/>
    <col min="7204" max="7204" width="7.81640625" style="2" customWidth="1"/>
    <col min="7205" max="7205" width="8.81640625" style="2" customWidth="1"/>
    <col min="7206" max="7355" width="12.81640625" style="2" customWidth="1"/>
    <col min="7356" max="7425" width="2.7265625" style="2" customWidth="1"/>
    <col min="7426" max="7426" width="3" style="2" customWidth="1"/>
    <col min="7427" max="7458" width="2.7265625" style="2" customWidth="1"/>
    <col min="7459" max="7459" width="14.81640625" style="2" customWidth="1"/>
    <col min="7460" max="7460" width="7.81640625" style="2" customWidth="1"/>
    <col min="7461" max="7461" width="8.81640625" style="2" customWidth="1"/>
    <col min="7462" max="7611" width="12.81640625" style="2" customWidth="1"/>
    <col min="7612" max="7681" width="2.7265625" style="2" customWidth="1"/>
    <col min="7682" max="7682" width="3" style="2" customWidth="1"/>
    <col min="7683" max="7714" width="2.7265625" style="2" customWidth="1"/>
    <col min="7715" max="7715" width="14.81640625" style="2" customWidth="1"/>
    <col min="7716" max="7716" width="7.81640625" style="2" customWidth="1"/>
    <col min="7717" max="7717" width="8.81640625" style="2" customWidth="1"/>
    <col min="7718" max="7867" width="12.81640625" style="2" customWidth="1"/>
    <col min="7868" max="7937" width="2.7265625" style="2" customWidth="1"/>
    <col min="7938" max="7938" width="3" style="2" customWidth="1"/>
    <col min="7939" max="7970" width="2.7265625" style="2" customWidth="1"/>
    <col min="7971" max="7971" width="14.81640625" style="2" customWidth="1"/>
    <col min="7972" max="7972" width="7.81640625" style="2" customWidth="1"/>
    <col min="7973" max="7973" width="8.81640625" style="2" customWidth="1"/>
    <col min="7974" max="8123" width="12.81640625" style="2" customWidth="1"/>
    <col min="8124" max="8193" width="2.7265625" style="2" customWidth="1"/>
    <col min="8194" max="8194" width="3" style="2" customWidth="1"/>
    <col min="8195" max="8226" width="2.7265625" style="2" customWidth="1"/>
    <col min="8227" max="8227" width="14.81640625" style="2" customWidth="1"/>
    <col min="8228" max="8228" width="7.81640625" style="2" customWidth="1"/>
    <col min="8229" max="8229" width="8.81640625" style="2" customWidth="1"/>
    <col min="8230" max="8379" width="12.81640625" style="2" customWidth="1"/>
    <col min="8380" max="8449" width="2.7265625" style="2" customWidth="1"/>
    <col min="8450" max="8450" width="3" style="2" customWidth="1"/>
    <col min="8451" max="8482" width="2.7265625" style="2" customWidth="1"/>
    <col min="8483" max="8483" width="14.81640625" style="2" customWidth="1"/>
    <col min="8484" max="8484" width="7.81640625" style="2" customWidth="1"/>
    <col min="8485" max="8485" width="8.81640625" style="2" customWidth="1"/>
    <col min="8486" max="8635" width="12.81640625" style="2" customWidth="1"/>
    <col min="8636" max="8705" width="2.7265625" style="2" customWidth="1"/>
    <col min="8706" max="8706" width="3" style="2" customWidth="1"/>
    <col min="8707" max="8738" width="2.7265625" style="2" customWidth="1"/>
    <col min="8739" max="8739" width="14.81640625" style="2" customWidth="1"/>
    <col min="8740" max="8740" width="7.81640625" style="2" customWidth="1"/>
    <col min="8741" max="8741" width="8.81640625" style="2" customWidth="1"/>
    <col min="8742" max="8891" width="12.81640625" style="2" customWidth="1"/>
    <col min="8892" max="8961" width="2.7265625" style="2" customWidth="1"/>
    <col min="8962" max="8962" width="3" style="2" customWidth="1"/>
    <col min="8963" max="8994" width="2.7265625" style="2" customWidth="1"/>
    <col min="8995" max="8995" width="14.81640625" style="2" customWidth="1"/>
    <col min="8996" max="8996" width="7.81640625" style="2" customWidth="1"/>
    <col min="8997" max="8997" width="8.81640625" style="2" customWidth="1"/>
    <col min="8998" max="9147" width="12.81640625" style="2" customWidth="1"/>
    <col min="9148" max="9217" width="2.7265625" style="2" customWidth="1"/>
    <col min="9218" max="9218" width="3" style="2" customWidth="1"/>
    <col min="9219" max="9250" width="2.7265625" style="2" customWidth="1"/>
    <col min="9251" max="9251" width="14.81640625" style="2" customWidth="1"/>
    <col min="9252" max="9252" width="7.81640625" style="2" customWidth="1"/>
    <col min="9253" max="9253" width="8.81640625" style="2" customWidth="1"/>
    <col min="9254" max="9403" width="12.81640625" style="2" customWidth="1"/>
    <col min="9404" max="9473" width="2.7265625" style="2" customWidth="1"/>
    <col min="9474" max="9474" width="3" style="2" customWidth="1"/>
    <col min="9475" max="9506" width="2.7265625" style="2" customWidth="1"/>
    <col min="9507" max="9507" width="14.81640625" style="2" customWidth="1"/>
    <col min="9508" max="9508" width="7.81640625" style="2" customWidth="1"/>
    <col min="9509" max="9509" width="8.81640625" style="2" customWidth="1"/>
    <col min="9510" max="9659" width="12.81640625" style="2" customWidth="1"/>
    <col min="9660" max="9729" width="2.7265625" style="2" customWidth="1"/>
    <col min="9730" max="9730" width="3" style="2" customWidth="1"/>
    <col min="9731" max="9762" width="2.7265625" style="2" customWidth="1"/>
    <col min="9763" max="9763" width="14.81640625" style="2" customWidth="1"/>
    <col min="9764" max="9764" width="7.81640625" style="2" customWidth="1"/>
    <col min="9765" max="9765" width="8.81640625" style="2" customWidth="1"/>
    <col min="9766" max="9915" width="12.81640625" style="2" customWidth="1"/>
    <col min="9916" max="9985" width="2.7265625" style="2" customWidth="1"/>
    <col min="9986" max="9986" width="3" style="2" customWidth="1"/>
    <col min="9987" max="10018" width="2.7265625" style="2" customWidth="1"/>
    <col min="10019" max="10019" width="14.81640625" style="2" customWidth="1"/>
    <col min="10020" max="10020" width="7.81640625" style="2" customWidth="1"/>
    <col min="10021" max="10021" width="8.81640625" style="2" customWidth="1"/>
    <col min="10022" max="10171" width="12.81640625" style="2" customWidth="1"/>
    <col min="10172" max="10241" width="2.7265625" style="2" customWidth="1"/>
    <col min="10242" max="10242" width="3" style="2" customWidth="1"/>
    <col min="10243" max="10274" width="2.7265625" style="2" customWidth="1"/>
    <col min="10275" max="10275" width="14.81640625" style="2" customWidth="1"/>
    <col min="10276" max="10276" width="7.81640625" style="2" customWidth="1"/>
    <col min="10277" max="10277" width="8.81640625" style="2" customWidth="1"/>
    <col min="10278" max="10427" width="12.81640625" style="2" customWidth="1"/>
    <col min="10428" max="10497" width="2.7265625" style="2" customWidth="1"/>
    <col min="10498" max="10498" width="3" style="2" customWidth="1"/>
    <col min="10499" max="10530" width="2.7265625" style="2" customWidth="1"/>
    <col min="10531" max="10531" width="14.81640625" style="2" customWidth="1"/>
    <col min="10532" max="10532" width="7.81640625" style="2" customWidth="1"/>
    <col min="10533" max="10533" width="8.81640625" style="2" customWidth="1"/>
    <col min="10534" max="10683" width="12.81640625" style="2" customWidth="1"/>
    <col min="10684" max="10753" width="2.7265625" style="2" customWidth="1"/>
    <col min="10754" max="10754" width="3" style="2" customWidth="1"/>
    <col min="10755" max="10786" width="2.7265625" style="2" customWidth="1"/>
    <col min="10787" max="10787" width="14.81640625" style="2" customWidth="1"/>
    <col min="10788" max="10788" width="7.81640625" style="2" customWidth="1"/>
    <col min="10789" max="10789" width="8.81640625" style="2" customWidth="1"/>
    <col min="10790" max="10939" width="12.81640625" style="2" customWidth="1"/>
    <col min="10940" max="11009" width="2.7265625" style="2" customWidth="1"/>
    <col min="11010" max="11010" width="3" style="2" customWidth="1"/>
    <col min="11011" max="11042" width="2.7265625" style="2" customWidth="1"/>
    <col min="11043" max="11043" width="14.81640625" style="2" customWidth="1"/>
    <col min="11044" max="11044" width="7.81640625" style="2" customWidth="1"/>
    <col min="11045" max="11045" width="8.81640625" style="2" customWidth="1"/>
    <col min="11046" max="11195" width="12.81640625" style="2" customWidth="1"/>
    <col min="11196" max="11265" width="2.7265625" style="2" customWidth="1"/>
    <col min="11266" max="11266" width="3" style="2" customWidth="1"/>
    <col min="11267" max="11298" width="2.7265625" style="2" customWidth="1"/>
    <col min="11299" max="11299" width="14.81640625" style="2" customWidth="1"/>
    <col min="11300" max="11300" width="7.81640625" style="2" customWidth="1"/>
    <col min="11301" max="11301" width="8.81640625" style="2" customWidth="1"/>
    <col min="11302" max="11451" width="12.81640625" style="2" customWidth="1"/>
    <col min="11452" max="11521" width="2.7265625" style="2" customWidth="1"/>
    <col min="11522" max="11522" width="3" style="2" customWidth="1"/>
    <col min="11523" max="11554" width="2.7265625" style="2" customWidth="1"/>
    <col min="11555" max="11555" width="14.81640625" style="2" customWidth="1"/>
    <col min="11556" max="11556" width="7.81640625" style="2" customWidth="1"/>
    <col min="11557" max="11557" width="8.81640625" style="2" customWidth="1"/>
    <col min="11558" max="11707" width="12.81640625" style="2" customWidth="1"/>
    <col min="11708" max="11777" width="2.7265625" style="2" customWidth="1"/>
    <col min="11778" max="11778" width="3" style="2" customWidth="1"/>
    <col min="11779" max="11810" width="2.7265625" style="2" customWidth="1"/>
    <col min="11811" max="11811" width="14.81640625" style="2" customWidth="1"/>
    <col min="11812" max="11812" width="7.81640625" style="2" customWidth="1"/>
    <col min="11813" max="11813" width="8.81640625" style="2" customWidth="1"/>
    <col min="11814" max="11963" width="12.81640625" style="2" customWidth="1"/>
    <col min="11964" max="12033" width="2.7265625" style="2" customWidth="1"/>
    <col min="12034" max="12034" width="3" style="2" customWidth="1"/>
    <col min="12035" max="12066" width="2.7265625" style="2" customWidth="1"/>
    <col min="12067" max="12067" width="14.81640625" style="2" customWidth="1"/>
    <col min="12068" max="12068" width="7.81640625" style="2" customWidth="1"/>
    <col min="12069" max="12069" width="8.81640625" style="2" customWidth="1"/>
    <col min="12070" max="12219" width="12.81640625" style="2" customWidth="1"/>
    <col min="12220" max="12289" width="2.7265625" style="2" customWidth="1"/>
    <col min="12290" max="12290" width="3" style="2" customWidth="1"/>
    <col min="12291" max="12322" width="2.7265625" style="2" customWidth="1"/>
    <col min="12323" max="12323" width="14.81640625" style="2" customWidth="1"/>
    <col min="12324" max="12324" width="7.81640625" style="2" customWidth="1"/>
    <col min="12325" max="12325" width="8.81640625" style="2" customWidth="1"/>
    <col min="12326" max="12475" width="12.81640625" style="2" customWidth="1"/>
    <col min="12476" max="12545" width="2.7265625" style="2" customWidth="1"/>
    <col min="12546" max="12546" width="3" style="2" customWidth="1"/>
    <col min="12547" max="12578" width="2.7265625" style="2" customWidth="1"/>
    <col min="12579" max="12579" width="14.81640625" style="2" customWidth="1"/>
    <col min="12580" max="12580" width="7.81640625" style="2" customWidth="1"/>
    <col min="12581" max="12581" width="8.81640625" style="2" customWidth="1"/>
    <col min="12582" max="12731" width="12.81640625" style="2" customWidth="1"/>
    <col min="12732" max="12801" width="2.7265625" style="2" customWidth="1"/>
    <col min="12802" max="12802" width="3" style="2" customWidth="1"/>
    <col min="12803" max="12834" width="2.7265625" style="2" customWidth="1"/>
    <col min="12835" max="12835" width="14.81640625" style="2" customWidth="1"/>
    <col min="12836" max="12836" width="7.81640625" style="2" customWidth="1"/>
    <col min="12837" max="12837" width="8.81640625" style="2" customWidth="1"/>
    <col min="12838" max="12987" width="12.81640625" style="2" customWidth="1"/>
    <col min="12988" max="13057" width="2.7265625" style="2" customWidth="1"/>
    <col min="13058" max="13058" width="3" style="2" customWidth="1"/>
    <col min="13059" max="13090" width="2.7265625" style="2" customWidth="1"/>
    <col min="13091" max="13091" width="14.81640625" style="2" customWidth="1"/>
    <col min="13092" max="13092" width="7.81640625" style="2" customWidth="1"/>
    <col min="13093" max="13093" width="8.81640625" style="2" customWidth="1"/>
    <col min="13094" max="13243" width="12.81640625" style="2" customWidth="1"/>
    <col min="13244" max="13313" width="2.7265625" style="2" customWidth="1"/>
    <col min="13314" max="13314" width="3" style="2" customWidth="1"/>
    <col min="13315" max="13346" width="2.7265625" style="2" customWidth="1"/>
    <col min="13347" max="13347" width="14.81640625" style="2" customWidth="1"/>
    <col min="13348" max="13348" width="7.81640625" style="2" customWidth="1"/>
    <col min="13349" max="13349" width="8.81640625" style="2" customWidth="1"/>
    <col min="13350" max="13499" width="12.81640625" style="2" customWidth="1"/>
    <col min="13500" max="13569" width="2.7265625" style="2" customWidth="1"/>
    <col min="13570" max="13570" width="3" style="2" customWidth="1"/>
    <col min="13571" max="13602" width="2.7265625" style="2" customWidth="1"/>
    <col min="13603" max="13603" width="14.81640625" style="2" customWidth="1"/>
    <col min="13604" max="13604" width="7.81640625" style="2" customWidth="1"/>
    <col min="13605" max="13605" width="8.81640625" style="2" customWidth="1"/>
    <col min="13606" max="13755" width="12.81640625" style="2" customWidth="1"/>
    <col min="13756" max="13825" width="2.7265625" style="2" customWidth="1"/>
    <col min="13826" max="13826" width="3" style="2" customWidth="1"/>
    <col min="13827" max="13858" width="2.7265625" style="2" customWidth="1"/>
    <col min="13859" max="13859" width="14.81640625" style="2" customWidth="1"/>
    <col min="13860" max="13860" width="7.81640625" style="2" customWidth="1"/>
    <col min="13861" max="13861" width="8.81640625" style="2" customWidth="1"/>
    <col min="13862" max="14011" width="12.81640625" style="2" customWidth="1"/>
    <col min="14012" max="14081" width="2.7265625" style="2" customWidth="1"/>
    <col min="14082" max="14082" width="3" style="2" customWidth="1"/>
    <col min="14083" max="14114" width="2.7265625" style="2" customWidth="1"/>
    <col min="14115" max="14115" width="14.81640625" style="2" customWidth="1"/>
    <col min="14116" max="14116" width="7.81640625" style="2" customWidth="1"/>
    <col min="14117" max="14117" width="8.81640625" style="2" customWidth="1"/>
    <col min="14118" max="14267" width="12.81640625" style="2" customWidth="1"/>
    <col min="14268" max="14337" width="2.7265625" style="2" customWidth="1"/>
    <col min="14338" max="14338" width="3" style="2" customWidth="1"/>
    <col min="14339" max="14370" width="2.7265625" style="2" customWidth="1"/>
    <col min="14371" max="14371" width="14.81640625" style="2" customWidth="1"/>
    <col min="14372" max="14372" width="7.81640625" style="2" customWidth="1"/>
    <col min="14373" max="14373" width="8.81640625" style="2" customWidth="1"/>
    <col min="14374" max="14523" width="12.81640625" style="2" customWidth="1"/>
    <col min="14524" max="14593" width="2.7265625" style="2" customWidth="1"/>
    <col min="14594" max="14594" width="3" style="2" customWidth="1"/>
    <col min="14595" max="14626" width="2.7265625" style="2" customWidth="1"/>
    <col min="14627" max="14627" width="14.81640625" style="2" customWidth="1"/>
    <col min="14628" max="14628" width="7.81640625" style="2" customWidth="1"/>
    <col min="14629" max="14629" width="8.81640625" style="2" customWidth="1"/>
    <col min="14630" max="14779" width="12.81640625" style="2" customWidth="1"/>
    <col min="14780" max="14849" width="2.7265625" style="2" customWidth="1"/>
    <col min="14850" max="14850" width="3" style="2" customWidth="1"/>
    <col min="14851" max="14882" width="2.7265625" style="2" customWidth="1"/>
    <col min="14883" max="14883" width="14.81640625" style="2" customWidth="1"/>
    <col min="14884" max="14884" width="7.81640625" style="2" customWidth="1"/>
    <col min="14885" max="14885" width="8.81640625" style="2" customWidth="1"/>
    <col min="14886" max="15035" width="12.81640625" style="2" customWidth="1"/>
    <col min="15036" max="15105" width="2.7265625" style="2" customWidth="1"/>
    <col min="15106" max="15106" width="3" style="2" customWidth="1"/>
    <col min="15107" max="15138" width="2.7265625" style="2" customWidth="1"/>
    <col min="15139" max="15139" width="14.81640625" style="2" customWidth="1"/>
    <col min="15140" max="15140" width="7.81640625" style="2" customWidth="1"/>
    <col min="15141" max="15141" width="8.81640625" style="2" customWidth="1"/>
    <col min="15142" max="15291" width="12.81640625" style="2" customWidth="1"/>
    <col min="15292" max="15361" width="2.7265625" style="2" customWidth="1"/>
    <col min="15362" max="15362" width="3" style="2" customWidth="1"/>
    <col min="15363" max="15394" width="2.7265625" style="2" customWidth="1"/>
    <col min="15395" max="15395" width="14.81640625" style="2" customWidth="1"/>
    <col min="15396" max="15396" width="7.81640625" style="2" customWidth="1"/>
    <col min="15397" max="15397" width="8.81640625" style="2" customWidth="1"/>
    <col min="15398" max="15547" width="12.81640625" style="2" customWidth="1"/>
    <col min="15548" max="15617" width="2.7265625" style="2" customWidth="1"/>
    <col min="15618" max="15618" width="3" style="2" customWidth="1"/>
    <col min="15619" max="15650" width="2.7265625" style="2" customWidth="1"/>
    <col min="15651" max="15651" width="14.81640625" style="2" customWidth="1"/>
    <col min="15652" max="15652" width="7.81640625" style="2" customWidth="1"/>
    <col min="15653" max="15653" width="8.81640625" style="2" customWidth="1"/>
    <col min="15654" max="15803" width="12.81640625" style="2" customWidth="1"/>
    <col min="15804" max="15873" width="2.7265625" style="2" customWidth="1"/>
    <col min="15874" max="15874" width="3" style="2" customWidth="1"/>
    <col min="15875" max="15906" width="2.7265625" style="2" customWidth="1"/>
    <col min="15907" max="15907" width="14.81640625" style="2" customWidth="1"/>
    <col min="15908" max="15908" width="7.81640625" style="2" customWidth="1"/>
    <col min="15909" max="15909" width="8.81640625" style="2" customWidth="1"/>
    <col min="15910" max="16059" width="12.81640625" style="2" customWidth="1"/>
    <col min="16060" max="16129" width="2.7265625" style="2" customWidth="1"/>
    <col min="16130" max="16130" width="3" style="2" customWidth="1"/>
    <col min="16131" max="16162" width="2.7265625" style="2" customWidth="1"/>
    <col min="16163" max="16163" width="14.81640625" style="2" customWidth="1"/>
    <col min="16164" max="16164" width="7.81640625" style="2" customWidth="1"/>
    <col min="16165" max="16165" width="8.81640625" style="2" customWidth="1"/>
    <col min="16166" max="16315" width="12.81640625" style="2" customWidth="1"/>
    <col min="16316" max="16384" width="2.7265625" style="2" customWidth="1"/>
  </cols>
  <sheetData>
    <row r="8" spans="1:72" ht="14.5" x14ac:dyDescent="0.3">
      <c r="K8" s="289"/>
      <c r="L8" s="289" t="s">
        <v>3345</v>
      </c>
    </row>
    <row r="9" spans="1:72" ht="18.5" customHeight="1" x14ac:dyDescent="0.45">
      <c r="C9" s="969" t="s">
        <v>3343</v>
      </c>
      <c r="D9" s="970"/>
      <c r="E9" s="971"/>
      <c r="K9" s="967"/>
      <c r="L9" s="289" t="s">
        <v>3346</v>
      </c>
      <c r="M9" s="42"/>
    </row>
    <row r="10" spans="1:72" ht="14.5" x14ac:dyDescent="0.3">
      <c r="I10" s="3"/>
      <c r="K10" s="289" t="s">
        <v>3344</v>
      </c>
      <c r="L10" s="289" t="s">
        <v>3347</v>
      </c>
      <c r="M10" s="42"/>
    </row>
    <row r="11" spans="1:72" s="3" customFormat="1" ht="16.5" customHeight="1" x14ac:dyDescent="0.35">
      <c r="A11" s="2"/>
      <c r="B11" s="2"/>
      <c r="C11" s="2"/>
      <c r="D11" s="58"/>
      <c r="E11" s="118" t="s">
        <v>3349</v>
      </c>
      <c r="F11" s="222">
        <v>3.5</v>
      </c>
      <c r="G11" s="123" t="s">
        <v>392</v>
      </c>
      <c r="H11" s="118" t="s">
        <v>3350</v>
      </c>
      <c r="I11" s="222">
        <v>6.6</v>
      </c>
      <c r="J11" s="123" t="s">
        <v>392</v>
      </c>
      <c r="K11" s="289" t="s">
        <v>3351</v>
      </c>
      <c r="L11" s="289">
        <f>(1.325+1.48)/2</f>
        <v>1.4024999999999999</v>
      </c>
      <c r="M11" s="965" t="s">
        <v>392</v>
      </c>
      <c r="N11" s="58"/>
      <c r="O11" s="58"/>
      <c r="P11" s="2"/>
      <c r="Q11" s="2"/>
      <c r="R11" s="2"/>
      <c r="S11" s="2"/>
      <c r="T11" s="2"/>
      <c r="U11" s="2"/>
      <c r="V11" s="2"/>
      <c r="W11" s="2"/>
      <c r="X11" s="2"/>
      <c r="Y11" s="2"/>
      <c r="Z11" s="2"/>
      <c r="AA11" s="2"/>
      <c r="AB11" s="2"/>
      <c r="AC11" s="2"/>
      <c r="AD11" s="2"/>
      <c r="AE11" s="2"/>
      <c r="AF11" s="2"/>
      <c r="AG11" s="2"/>
      <c r="AH11" s="2"/>
      <c r="AI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row>
    <row r="12" spans="1:72" s="3" customFormat="1" ht="16.5" customHeight="1" x14ac:dyDescent="0.35">
      <c r="A12" s="2"/>
      <c r="B12" s="2"/>
      <c r="C12" s="2"/>
      <c r="D12" s="58"/>
      <c r="E12" s="118"/>
      <c r="F12" s="222"/>
      <c r="G12" s="123"/>
      <c r="H12" s="118"/>
      <c r="I12" s="222"/>
      <c r="J12" s="123"/>
      <c r="M12" s="965"/>
      <c r="N12" s="58"/>
      <c r="O12" s="58"/>
      <c r="P12" s="2"/>
      <c r="Q12" s="2"/>
      <c r="R12" s="2"/>
      <c r="S12" s="2"/>
      <c r="T12" s="2"/>
      <c r="U12" s="2"/>
      <c r="V12" s="2"/>
      <c r="W12" s="2"/>
      <c r="X12" s="2"/>
      <c r="Y12" s="2"/>
      <c r="Z12" s="2"/>
      <c r="AA12" s="2"/>
      <c r="AB12" s="2"/>
      <c r="AC12" s="2"/>
      <c r="AD12" s="2"/>
      <c r="AE12" s="2"/>
      <c r="AF12" s="2"/>
      <c r="AG12" s="2"/>
      <c r="AH12" s="2"/>
      <c r="AI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row>
    <row r="13" spans="1:72" s="3" customFormat="1" ht="15.65" customHeight="1" x14ac:dyDescent="0.35">
      <c r="A13" s="2"/>
      <c r="B13" s="2"/>
      <c r="C13" s="2"/>
      <c r="D13" s="58"/>
      <c r="E13" s="966"/>
      <c r="F13" s="223"/>
      <c r="G13" s="58"/>
      <c r="H13" s="58"/>
      <c r="I13" s="223"/>
      <c r="J13" s="123"/>
      <c r="M13" s="222"/>
      <c r="N13" s="58"/>
      <c r="O13" s="58"/>
      <c r="P13" s="2"/>
      <c r="Q13" s="2"/>
      <c r="R13" s="2"/>
      <c r="S13" s="2"/>
      <c r="T13" s="2"/>
      <c r="U13" s="458"/>
      <c r="V13" s="2"/>
      <c r="W13" s="2"/>
      <c r="X13" s="2"/>
      <c r="Y13" s="2"/>
      <c r="Z13" s="2"/>
      <c r="AA13" s="2"/>
      <c r="AB13" s="2"/>
      <c r="AC13" s="2"/>
      <c r="AD13" s="2"/>
      <c r="AE13" s="2"/>
      <c r="AF13" s="2"/>
      <c r="AG13" s="2"/>
      <c r="AH13" s="2"/>
      <c r="AI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row>
    <row r="14" spans="1:72" s="3" customFormat="1" ht="15.75" customHeight="1" x14ac:dyDescent="0.35">
      <c r="A14" s="2"/>
      <c r="B14" s="2"/>
      <c r="C14" s="2"/>
      <c r="D14" s="58"/>
      <c r="E14" s="58"/>
      <c r="F14" s="58"/>
      <c r="G14" s="118"/>
      <c r="H14" s="343"/>
      <c r="I14" s="58"/>
      <c r="J14" s="967"/>
      <c r="M14" s="223"/>
      <c r="N14" s="58"/>
      <c r="O14" s="58"/>
      <c r="P14" s="2"/>
      <c r="Q14" s="2"/>
      <c r="R14" s="2"/>
      <c r="S14" s="2"/>
      <c r="T14" s="2"/>
      <c r="U14" s="2"/>
      <c r="V14" s="2"/>
      <c r="W14" s="2"/>
      <c r="X14" s="2"/>
      <c r="Y14" s="2"/>
      <c r="Z14" s="2"/>
      <c r="AA14" s="2"/>
      <c r="AB14" s="2"/>
      <c r="AC14" s="2"/>
      <c r="AD14" s="2"/>
      <c r="AE14" s="2"/>
      <c r="AF14" s="2"/>
      <c r="AG14" s="2"/>
      <c r="AH14" s="2"/>
      <c r="AL14" s="8"/>
      <c r="AM14" s="195"/>
      <c r="AO14" s="8"/>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row>
    <row r="15" spans="1:72" s="3" customFormat="1" ht="15.75" customHeight="1" thickBot="1" x14ac:dyDescent="0.4">
      <c r="A15" s="2"/>
      <c r="B15" s="2"/>
      <c r="C15" s="2"/>
      <c r="D15" s="58"/>
      <c r="E15" s="58"/>
      <c r="F15" s="58"/>
      <c r="G15" s="118"/>
      <c r="H15" s="343"/>
      <c r="I15" s="58"/>
      <c r="J15" s="967"/>
      <c r="K15" s="58"/>
      <c r="L15" s="58"/>
      <c r="M15" s="223"/>
      <c r="N15" s="58"/>
      <c r="O15" s="58"/>
      <c r="P15" s="2"/>
      <c r="Q15" s="2"/>
      <c r="R15" s="2"/>
      <c r="S15" s="2"/>
      <c r="T15" s="2"/>
      <c r="U15" s="2"/>
      <c r="V15" s="2"/>
      <c r="W15" s="2"/>
      <c r="X15" s="2"/>
      <c r="Y15" s="2"/>
      <c r="Z15" s="2"/>
      <c r="AA15" s="2"/>
      <c r="AB15" s="2"/>
      <c r="AC15" s="2"/>
      <c r="AD15" s="2"/>
      <c r="AE15" s="2"/>
      <c r="AF15" s="2"/>
      <c r="AG15" s="2"/>
      <c r="AH15" s="2"/>
      <c r="AL15" s="8"/>
      <c r="AM15" s="195"/>
      <c r="AO15" s="8"/>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row>
    <row r="16" spans="1:72" s="3" customFormat="1" ht="30" customHeight="1" thickTop="1" thickBot="1" x14ac:dyDescent="0.4">
      <c r="A16" s="2"/>
      <c r="B16" s="2"/>
      <c r="C16" s="754" t="s">
        <v>402</v>
      </c>
      <c r="D16" s="922"/>
      <c r="E16" s="1089" t="s">
        <v>403</v>
      </c>
      <c r="F16" s="1090"/>
      <c r="G16" s="118"/>
      <c r="H16" s="983" t="s">
        <v>446</v>
      </c>
      <c r="I16" s="981" t="s">
        <v>447</v>
      </c>
      <c r="J16" s="981" t="s">
        <v>448</v>
      </c>
      <c r="K16" s="981" t="s">
        <v>449</v>
      </c>
      <c r="L16" s="981" t="s">
        <v>450</v>
      </c>
      <c r="M16" s="981" t="s">
        <v>451</v>
      </c>
      <c r="N16" s="981" t="s">
        <v>452</v>
      </c>
      <c r="O16" s="985" t="s">
        <v>453</v>
      </c>
      <c r="P16" s="981" t="s">
        <v>454</v>
      </c>
      <c r="Q16" s="981" t="s">
        <v>455</v>
      </c>
      <c r="R16" s="981" t="s">
        <v>456</v>
      </c>
      <c r="S16" s="982" t="s">
        <v>457</v>
      </c>
      <c r="T16" s="980" t="s">
        <v>458</v>
      </c>
      <c r="U16" s="980" t="s">
        <v>459</v>
      </c>
      <c r="V16" s="980" t="s">
        <v>460</v>
      </c>
      <c r="W16" s="984" t="s">
        <v>461</v>
      </c>
      <c r="X16" s="2"/>
      <c r="Y16" s="2"/>
      <c r="Z16" s="2"/>
      <c r="AA16" s="2"/>
      <c r="AB16" s="2"/>
      <c r="AC16" s="975" t="s">
        <v>444</v>
      </c>
      <c r="AD16" s="975" t="s">
        <v>3334</v>
      </c>
      <c r="AE16" s="2"/>
      <c r="AF16" s="2"/>
      <c r="AG16" s="2"/>
      <c r="AH16" s="2"/>
      <c r="AI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row>
    <row r="17" spans="1:72" s="3" customFormat="1" ht="26.5" customHeight="1" thickTop="1" thickBot="1" x14ac:dyDescent="0.4">
      <c r="A17" s="2"/>
      <c r="B17" s="2"/>
      <c r="C17" s="986" t="s">
        <v>404</v>
      </c>
      <c r="D17" s="986"/>
      <c r="E17" s="1091" t="s">
        <v>1805</v>
      </c>
      <c r="F17" s="1092"/>
      <c r="G17" s="118"/>
      <c r="H17" s="977">
        <f>_xlfn.XLOOKUP(D18, CityKey, Data_Elev_m, "")</f>
        <v>255</v>
      </c>
      <c r="I17" s="978">
        <f>_xlfn.XLOOKUP(D18, CityKey, Data_Jan_2_5_C, "")</f>
        <v>-38</v>
      </c>
      <c r="J17" s="978">
        <f>_xlfn.XLOOKUP(D18, CityKey, Data_Jan_1_C, "")</f>
        <v>-40</v>
      </c>
      <c r="K17" s="978">
        <f>_xlfn.XLOOKUP(D18, CityKey, Data_Jul_2_5_Dry_C, "")</f>
        <v>28</v>
      </c>
      <c r="L17" s="978">
        <f>_xlfn.XLOOKUP(D18, CityKey, Data_Jul_2_5_Wet_C, "")</f>
        <v>19</v>
      </c>
      <c r="M17" s="978">
        <f>_xlfn.XLOOKUP(D18, CityKey, Data_Degree_Days_18_C, "")</f>
        <v>6250</v>
      </c>
      <c r="N17" s="978">
        <f>_xlfn.XLOOKUP(D18, CityKey, Data_15_min_Rain_mm, "")</f>
        <v>13</v>
      </c>
      <c r="O17" s="978">
        <f>_xlfn.XLOOKUP(D18, CityKey, Data_One_Day_Rain_1_50_mm, "")</f>
        <v>86</v>
      </c>
      <c r="P17" s="978">
        <f>_xlfn.XLOOKUP(D18, CityKey, Data_Annual_Rain_mm, "")</f>
        <v>340</v>
      </c>
      <c r="Q17" s="978">
        <f>_xlfn.XLOOKUP(D18, CityKey, Data_Moist_Index, "")</f>
        <v>0.5</v>
      </c>
      <c r="R17" s="978">
        <f>_xlfn.XLOOKUP(D18, CityKey, Data_Ann_Total_Ppn_mm, "")</f>
        <v>460</v>
      </c>
      <c r="S17" s="978">
        <f>_xlfn.XLOOKUP(D18, CityKey, Data_Driving_Rain_Pressure_Pa_1_5, "")</f>
        <v>60</v>
      </c>
      <c r="T17" s="978">
        <f>_xlfn.XLOOKUP(D18, CityKey, Data_Snow_Ss_kPa_1_50, "")</f>
        <v>1.5</v>
      </c>
      <c r="U17" s="978">
        <f>_xlfn.XLOOKUP(D18, CityKey, Data_Snow_Sr_kPa_1_50, "")</f>
        <v>0.1</v>
      </c>
      <c r="V17" s="978">
        <f>_xlfn.XLOOKUP(D18, CityKey, Data_Hourly_Wind_kPa_1_10, "")</f>
        <v>0.28000000000000003</v>
      </c>
      <c r="W17" s="979">
        <f>_xlfn.XLOOKUP(D18, CityKey, Data_Hourly_Wind_kPa_1_50, "")</f>
        <v>0.35</v>
      </c>
      <c r="X17" s="2"/>
      <c r="Y17" s="2"/>
      <c r="Z17" s="2"/>
      <c r="AA17" s="2"/>
      <c r="AB17" s="2"/>
      <c r="AC17" s="976" t="str">
        <f>_xlfn.XLOOKUP(D$18,CityKey,Data_Province,"")</f>
        <v>Alberta</v>
      </c>
      <c r="AD17" s="976" t="str">
        <f>_xlfn.XLOOKUP(D18, CityKey, Data_Province_and_Location, "")</f>
        <v>Fort McMurray</v>
      </c>
      <c r="AE17" s="2"/>
      <c r="AF17" s="2"/>
      <c r="AG17" s="2"/>
      <c r="AH17" s="2"/>
      <c r="AI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row>
    <row r="18" spans="1:72" s="3" customFormat="1" ht="21" customHeight="1" x14ac:dyDescent="0.35">
      <c r="A18" s="2"/>
      <c r="B18" s="2"/>
      <c r="C18" s="994" t="s">
        <v>442</v>
      </c>
      <c r="D18" s="994" t="str">
        <f>E16&amp;"|"&amp;E17</f>
        <v>Alberta|Fort McMurray</v>
      </c>
      <c r="E18" s="995" t="s">
        <v>3342</v>
      </c>
      <c r="F18" s="995"/>
      <c r="G18" s="993"/>
      <c r="H18" s="2"/>
      <c r="I18" s="2"/>
      <c r="J18" s="2"/>
      <c r="K18" s="2"/>
      <c r="L18" s="2"/>
      <c r="M18" s="2"/>
      <c r="N18" s="30"/>
      <c r="O18" s="2"/>
      <c r="P18" s="2"/>
      <c r="Q18" s="2"/>
      <c r="R18" s="2"/>
      <c r="S18" s="2"/>
      <c r="T18" s="2"/>
      <c r="U18" s="2"/>
      <c r="V18" s="2"/>
      <c r="W18" s="2"/>
      <c r="X18" s="2"/>
      <c r="Y18" s="2"/>
      <c r="Z18" s="2"/>
      <c r="AA18" s="2"/>
      <c r="AB18" s="2"/>
      <c r="AC18" s="2"/>
      <c r="AD18" s="2"/>
      <c r="AE18" s="2"/>
      <c r="AF18" s="2"/>
      <c r="AG18" s="2"/>
      <c r="AH18" s="2"/>
      <c r="AL18" s="8"/>
      <c r="AM18" s="195"/>
      <c r="AO18" s="8"/>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row>
    <row r="19" spans="1:72" s="3" customFormat="1" ht="16.5" customHeight="1" x14ac:dyDescent="0.35">
      <c r="A19" s="2"/>
      <c r="B19" s="2"/>
      <c r="C19" s="996" t="s">
        <v>409</v>
      </c>
      <c r="D19" s="497"/>
      <c r="E19" s="997"/>
      <c r="F19" s="997"/>
      <c r="G19" s="118"/>
      <c r="H19" s="2"/>
      <c r="I19" s="2"/>
      <c r="J19" s="2"/>
      <c r="K19" s="2"/>
      <c r="L19" s="2"/>
      <c r="M19" s="2"/>
      <c r="N19" s="30"/>
      <c r="O19" s="2"/>
      <c r="P19" s="2"/>
      <c r="Q19" s="2"/>
      <c r="R19" s="2"/>
      <c r="S19" s="2"/>
      <c r="T19" s="2"/>
      <c r="U19" s="2"/>
      <c r="V19" s="2"/>
      <c r="W19" s="2"/>
      <c r="X19" s="2"/>
      <c r="Y19" s="2"/>
      <c r="Z19" s="2"/>
      <c r="AA19" s="2"/>
      <c r="AB19" s="2"/>
      <c r="AC19" s="2"/>
      <c r="AD19" s="2"/>
      <c r="AE19" s="2"/>
      <c r="AF19" s="2"/>
      <c r="AG19" s="2"/>
      <c r="AH19" s="2"/>
      <c r="AL19" s="8"/>
      <c r="AM19" s="195"/>
      <c r="AO19" s="8"/>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row>
    <row r="20" spans="1:72" s="3" customFormat="1" ht="17" customHeight="1" thickBot="1" x14ac:dyDescent="0.35">
      <c r="A20" s="2"/>
      <c r="B20" s="2"/>
      <c r="C20" s="2"/>
      <c r="D20" s="2"/>
      <c r="E20" s="2"/>
      <c r="F20" s="2"/>
      <c r="G20" s="44"/>
      <c r="H20" s="2"/>
      <c r="I20" s="2"/>
      <c r="J20" s="2"/>
      <c r="K20" s="2"/>
      <c r="L20" s="2"/>
      <c r="M20" s="2"/>
      <c r="N20" s="30"/>
      <c r="O20" s="2"/>
      <c r="P20" s="2"/>
      <c r="Q20" s="2"/>
      <c r="R20" s="2"/>
      <c r="S20" s="2"/>
      <c r="T20" s="2"/>
      <c r="U20" s="2"/>
      <c r="V20" s="2"/>
      <c r="W20" s="2"/>
      <c r="X20" s="2"/>
      <c r="Y20" s="2"/>
      <c r="Z20" s="2"/>
      <c r="AA20" s="2"/>
      <c r="AB20" s="2"/>
      <c r="AC20" s="2"/>
      <c r="AD20" s="2"/>
      <c r="AE20" s="2"/>
      <c r="AF20" s="2"/>
      <c r="AG20" s="2"/>
      <c r="AH20" s="2"/>
      <c r="AL20" s="8"/>
      <c r="AM20" s="195"/>
      <c r="AO20" s="8"/>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row>
    <row r="21" spans="1:72" s="3" customFormat="1" ht="17.25" customHeight="1" thickBot="1" x14ac:dyDescent="0.4">
      <c r="A21" s="2"/>
      <c r="B21" s="2"/>
      <c r="C21" s="754" t="s">
        <v>406</v>
      </c>
      <c r="D21" s="753"/>
      <c r="E21" s="1093" t="s">
        <v>3352</v>
      </c>
      <c r="F21" s="1094"/>
      <c r="G21" s="142"/>
      <c r="H21" s="956"/>
      <c r="I21" s="957"/>
      <c r="J21" s="142"/>
      <c r="K21" s="888"/>
      <c r="L21" s="889"/>
      <c r="M21" s="885"/>
      <c r="N21" s="541"/>
      <c r="O21" s="30"/>
      <c r="P21" s="397"/>
      <c r="Q21" s="2"/>
      <c r="R21" s="38"/>
      <c r="S21" s="2"/>
      <c r="T21" s="2"/>
      <c r="U21" s="2"/>
      <c r="V21" s="2"/>
      <c r="W21" s="2"/>
      <c r="X21" s="2"/>
      <c r="Y21" s="2"/>
      <c r="Z21" s="2"/>
      <c r="AA21" s="2"/>
      <c r="AB21" s="2"/>
      <c r="AC21" s="2"/>
      <c r="AD21" s="2"/>
      <c r="AE21" s="2"/>
      <c r="AF21" s="2"/>
      <c r="AG21" s="2"/>
      <c r="AH21" s="2"/>
      <c r="AI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row>
    <row r="22" spans="1:72" s="3" customFormat="1" ht="15.75" customHeight="1" thickBot="1" x14ac:dyDescent="0.4">
      <c r="A22" s="2"/>
      <c r="B22" s="2"/>
      <c r="C22" s="95" t="s">
        <v>408</v>
      </c>
      <c r="D22" s="2"/>
      <c r="E22" s="142"/>
      <c r="F22" s="142"/>
      <c r="G22" s="142"/>
      <c r="H22" s="142"/>
      <c r="I22" s="142"/>
      <c r="J22" s="142"/>
      <c r="K22" s="142"/>
      <c r="L22" s="142"/>
      <c r="M22" s="142"/>
      <c r="N22" s="2"/>
      <c r="O22" s="752"/>
      <c r="P22" s="752"/>
      <c r="Q22" s="2"/>
      <c r="R22" s="2"/>
      <c r="S22" s="1087"/>
      <c r="T22" s="1088"/>
      <c r="U22" s="1088"/>
      <c r="V22" s="2"/>
      <c r="W22" s="2"/>
      <c r="X22" s="2"/>
      <c r="Y22" s="2"/>
      <c r="Z22" s="2"/>
      <c r="AA22" s="2"/>
      <c r="AB22" s="2"/>
      <c r="AC22" s="2"/>
      <c r="AD22" s="2"/>
      <c r="AE22" s="2"/>
      <c r="AF22" s="2"/>
      <c r="AG22" s="2"/>
      <c r="AH22" s="2"/>
      <c r="AI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row>
    <row r="23" spans="1:72" s="3" customFormat="1" ht="15.75" customHeight="1" thickBot="1" x14ac:dyDescent="0.4">
      <c r="A23" s="2"/>
      <c r="B23" s="2"/>
      <c r="C23" s="2"/>
      <c r="D23" s="2"/>
      <c r="E23" s="1095" t="str">
        <f t="array" ref="E23">GetCoordinatesOfficial(E21)</f>
        <v>57.1825744, -111.6378436</v>
      </c>
      <c r="F23" s="1094"/>
      <c r="G23" s="142"/>
      <c r="H23" s="142"/>
      <c r="I23" s="142"/>
      <c r="J23" s="141"/>
      <c r="K23" s="142"/>
      <c r="L23" s="142"/>
      <c r="M23" s="142"/>
      <c r="N23" s="2"/>
      <c r="O23" s="751"/>
      <c r="P23" s="751"/>
      <c r="Q23" s="2"/>
      <c r="R23" s="2"/>
      <c r="S23" s="38"/>
      <c r="T23" s="38"/>
      <c r="U23" s="38"/>
      <c r="V23" s="2"/>
      <c r="W23" s="2"/>
      <c r="X23" s="2"/>
      <c r="Y23" s="2"/>
      <c r="Z23" s="2"/>
      <c r="AA23" s="2"/>
      <c r="AB23" s="2"/>
      <c r="AC23" s="2"/>
      <c r="AD23" s="2"/>
      <c r="AE23" s="2"/>
      <c r="AF23" s="2"/>
      <c r="AG23" s="2"/>
      <c r="AH23" s="2"/>
      <c r="AI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row>
    <row r="24" spans="1:72" s="3" customFormat="1" ht="15.75" customHeight="1" x14ac:dyDescent="0.3">
      <c r="A24" s="2"/>
      <c r="B24" s="2"/>
      <c r="C24" s="2"/>
      <c r="D24" s="2"/>
      <c r="E24" s="860"/>
      <c r="F24" s="860"/>
      <c r="G24" s="142"/>
      <c r="H24" s="142"/>
      <c r="I24" s="142"/>
      <c r="J24" s="2"/>
      <c r="K24" s="142"/>
      <c r="L24" s="142"/>
      <c r="M24" s="142"/>
      <c r="N24" s="2"/>
      <c r="O24" s="751"/>
      <c r="P24" s="751"/>
      <c r="Q24" s="2"/>
      <c r="R24" s="2"/>
      <c r="S24" s="38"/>
      <c r="T24" s="38"/>
      <c r="U24" s="38"/>
      <c r="V24" s="2"/>
      <c r="W24" s="2"/>
      <c r="X24" s="2"/>
      <c r="Y24" s="2"/>
      <c r="Z24" s="2"/>
      <c r="AA24" s="2"/>
      <c r="AB24" s="2"/>
      <c r="AC24" s="2"/>
      <c r="AD24" s="2"/>
      <c r="AE24" s="2"/>
      <c r="AF24" s="2"/>
      <c r="AG24" s="2"/>
      <c r="AH24" s="2"/>
      <c r="AI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row>
    <row r="25" spans="1:72" s="3" customFormat="1" ht="16.5" customHeight="1" x14ac:dyDescent="0.35">
      <c r="A25" s="2"/>
      <c r="B25" s="2"/>
      <c r="C25" s="953" t="s">
        <v>409</v>
      </c>
      <c r="D25" s="917"/>
      <c r="E25" s="893"/>
      <c r="F25" s="893"/>
      <c r="G25" s="142"/>
      <c r="H25" s="2"/>
      <c r="I25" s="2"/>
      <c r="J25" s="2"/>
      <c r="K25" s="2"/>
      <c r="L25" s="141"/>
      <c r="M25" s="900"/>
      <c r="N25" s="2"/>
      <c r="O25" s="2"/>
      <c r="P25" s="897"/>
      <c r="Q25" s="2"/>
      <c r="R25" s="38"/>
      <c r="S25" s="2"/>
      <c r="T25" s="2"/>
      <c r="U25" s="2"/>
      <c r="V25" s="2"/>
      <c r="W25" s="2"/>
      <c r="X25" s="2"/>
      <c r="Y25" s="2"/>
      <c r="Z25" s="2"/>
      <c r="AA25" s="2"/>
      <c r="AB25" s="2"/>
      <c r="AC25" s="2"/>
      <c r="AD25" s="2"/>
      <c r="AE25" s="2"/>
      <c r="AF25" s="2"/>
      <c r="AG25" s="2"/>
      <c r="AH25" s="2"/>
      <c r="AI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row>
    <row r="26" spans="1:72" s="3" customFormat="1" ht="17.25" customHeight="1" thickBot="1" x14ac:dyDescent="0.4">
      <c r="A26" s="2"/>
      <c r="B26" s="2"/>
      <c r="C26" s="921"/>
      <c r="D26" s="917"/>
      <c r="E26" s="893"/>
      <c r="F26" s="893"/>
      <c r="G26" s="142"/>
      <c r="H26" s="2"/>
      <c r="I26" s="2"/>
      <c r="J26" s="2"/>
      <c r="K26" s="2"/>
      <c r="L26" s="141"/>
      <c r="M26" s="902"/>
      <c r="N26" s="2"/>
      <c r="O26" s="2"/>
      <c r="P26" s="897"/>
      <c r="Q26" s="2"/>
      <c r="R26" s="38"/>
      <c r="S26" s="2"/>
      <c r="T26" s="2"/>
      <c r="U26" s="2"/>
      <c r="V26" s="2"/>
      <c r="W26" s="2"/>
      <c r="X26" s="2"/>
      <c r="Y26" s="2"/>
      <c r="Z26" s="2"/>
      <c r="AA26" s="2"/>
      <c r="AB26" s="2"/>
      <c r="AC26" s="2"/>
      <c r="AD26" s="2"/>
      <c r="AE26" s="2"/>
      <c r="AF26" s="2"/>
      <c r="AG26" s="2"/>
      <c r="AH26" s="2"/>
      <c r="AI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row>
    <row r="27" spans="1:72" s="3" customFormat="1" ht="15.75" customHeight="1" thickBot="1" x14ac:dyDescent="0.4">
      <c r="A27" s="2"/>
      <c r="B27" s="2"/>
      <c r="C27" s="922" t="s">
        <v>410</v>
      </c>
      <c r="D27" s="923"/>
      <c r="E27" s="1096"/>
      <c r="F27" s="1094"/>
      <c r="G27" s="26"/>
      <c r="H27" s="954"/>
      <c r="I27" s="954"/>
      <c r="J27" s="26"/>
      <c r="K27" s="955"/>
      <c r="L27" s="941"/>
      <c r="M27" s="902"/>
      <c r="N27" s="2"/>
      <c r="O27" s="2"/>
      <c r="P27" s="901"/>
      <c r="Q27" s="2"/>
      <c r="R27" s="2"/>
      <c r="S27" s="1087"/>
      <c r="T27" s="1088"/>
      <c r="U27" s="1088"/>
      <c r="V27" s="2"/>
      <c r="W27" s="2"/>
      <c r="X27" s="2"/>
      <c r="Y27" s="2"/>
      <c r="Z27" s="2"/>
      <c r="AA27" s="2"/>
      <c r="AB27" s="2"/>
      <c r="AC27" s="2"/>
      <c r="AD27" s="2"/>
      <c r="AE27" s="2"/>
      <c r="AF27" s="2"/>
      <c r="AG27" s="2"/>
      <c r="AH27" s="2"/>
      <c r="AI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row>
    <row r="28" spans="1:72" s="3" customFormat="1" ht="15.75" customHeight="1" x14ac:dyDescent="0.3">
      <c r="A28" s="2"/>
      <c r="B28" s="2"/>
      <c r="C28" s="2"/>
      <c r="D28" s="2"/>
      <c r="E28" s="2"/>
      <c r="F28" s="2"/>
      <c r="G28" s="44"/>
      <c r="H28" s="142"/>
      <c r="I28" s="2"/>
      <c r="J28" s="30"/>
      <c r="K28" s="2"/>
      <c r="L28" s="2"/>
      <c r="N28" s="2"/>
      <c r="O28" s="2"/>
      <c r="P28" s="2"/>
      <c r="Q28" s="2"/>
      <c r="R28" s="2"/>
      <c r="S28" s="2"/>
      <c r="T28" s="2"/>
      <c r="U28" s="2"/>
      <c r="V28" s="2"/>
      <c r="W28" s="2"/>
      <c r="X28" s="2"/>
      <c r="Y28" s="2"/>
      <c r="Z28" s="2"/>
      <c r="AA28" s="2"/>
      <c r="AB28" s="2"/>
      <c r="AC28" s="2"/>
      <c r="AD28" s="2"/>
      <c r="AE28" s="2"/>
      <c r="AF28" s="2"/>
      <c r="AG28" s="2"/>
      <c r="AH28" s="2"/>
      <c r="AL28" s="8"/>
      <c r="AM28" s="195"/>
      <c r="AO28" s="8"/>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row>
    <row r="29" spans="1:72" s="3" customFormat="1" ht="15.75" customHeight="1" x14ac:dyDescent="0.3">
      <c r="A29" s="2"/>
      <c r="B29" s="2"/>
      <c r="C29" s="2"/>
      <c r="D29" s="2"/>
      <c r="E29" s="2"/>
      <c r="F29" s="2"/>
      <c r="G29" s="44"/>
      <c r="H29" s="142"/>
      <c r="I29" s="2"/>
      <c r="J29" s="30"/>
      <c r="K29" s="2"/>
      <c r="L29" s="2"/>
      <c r="N29" s="2"/>
      <c r="O29" s="2"/>
      <c r="P29" s="2"/>
      <c r="Q29" s="2"/>
      <c r="R29" s="2"/>
      <c r="S29" s="2"/>
      <c r="T29" s="2"/>
      <c r="U29" s="2"/>
      <c r="V29" s="2"/>
      <c r="W29" s="2"/>
      <c r="X29" s="2"/>
      <c r="Y29" s="2"/>
      <c r="Z29" s="2"/>
      <c r="AA29" s="2"/>
      <c r="AB29" s="2"/>
      <c r="AC29" s="2"/>
      <c r="AD29" s="2"/>
      <c r="AE29" s="2"/>
      <c r="AF29" s="2"/>
      <c r="AG29" s="2"/>
      <c r="AH29" s="2"/>
      <c r="AL29" s="8"/>
      <c r="AM29" s="195"/>
      <c r="AO29" s="8"/>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row>
    <row r="30" spans="1:72" s="3" customFormat="1" ht="15.75" customHeight="1" x14ac:dyDescent="0.4">
      <c r="A30" s="2"/>
      <c r="B30" s="470" t="s">
        <v>411</v>
      </c>
      <c r="C30" s="471"/>
      <c r="D30" s="471"/>
      <c r="E30" s="471"/>
      <c r="F30" s="471"/>
      <c r="G30" s="471"/>
      <c r="H30" s="153"/>
      <c r="I30" s="2"/>
      <c r="J30" s="2"/>
      <c r="K30" s="2"/>
      <c r="L30" s="2"/>
      <c r="M30" s="2"/>
      <c r="N30" s="2"/>
      <c r="O30" s="2"/>
      <c r="P30" s="2"/>
      <c r="Q30" s="2"/>
      <c r="R30" s="2"/>
      <c r="S30" s="2"/>
      <c r="T30" s="2"/>
      <c r="U30" s="2"/>
      <c r="V30" s="2"/>
      <c r="W30" s="2"/>
      <c r="X30" s="2"/>
      <c r="Y30" s="2"/>
      <c r="Z30" s="2"/>
      <c r="AA30" s="2"/>
      <c r="AB30" s="2"/>
      <c r="AC30" s="2"/>
      <c r="AD30" s="2"/>
      <c r="AE30" s="2"/>
      <c r="AF30" s="2"/>
      <c r="AG30" s="2"/>
      <c r="AH30" s="2"/>
      <c r="AL30" s="8"/>
      <c r="AM30" s="195"/>
      <c r="AO30" s="8"/>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row>
    <row r="31" spans="1:72" s="3" customFormat="1" ht="15.75" customHeight="1" x14ac:dyDescent="0.35">
      <c r="A31" s="2"/>
      <c r="B31" s="96" t="s">
        <v>412</v>
      </c>
      <c r="C31" s="303"/>
      <c r="D31" s="302"/>
      <c r="E31" s="296"/>
      <c r="F31" s="296"/>
      <c r="G31" s="296"/>
      <c r="H31" s="296"/>
      <c r="I31" s="2"/>
      <c r="J31" s="2"/>
      <c r="K31" s="142"/>
      <c r="L31" s="142"/>
      <c r="M31" s="142"/>
      <c r="N31" s="142"/>
      <c r="O31" s="2"/>
      <c r="P31" s="2"/>
      <c r="Q31" s="2"/>
      <c r="R31" s="2"/>
      <c r="S31" s="2"/>
      <c r="T31" s="2"/>
      <c r="U31" s="95"/>
      <c r="V31" s="2"/>
      <c r="W31" s="2"/>
      <c r="X31" s="2"/>
      <c r="Y31" s="2"/>
      <c r="Z31" s="2"/>
      <c r="AA31" s="2"/>
      <c r="AB31" s="2"/>
      <c r="AC31" s="2"/>
      <c r="AD31" s="2"/>
      <c r="AE31" s="2"/>
      <c r="AF31" s="2"/>
      <c r="AG31" s="2"/>
      <c r="AH31" s="2"/>
      <c r="AI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row>
    <row r="32" spans="1:72" s="3" customFormat="1" ht="15.65" customHeight="1" x14ac:dyDescent="0.3">
      <c r="A32" s="2"/>
      <c r="B32" s="2"/>
      <c r="C32" s="2"/>
      <c r="D32" s="2"/>
      <c r="E32" s="2"/>
      <c r="F32" s="2"/>
      <c r="G32" s="2"/>
      <c r="H32" s="2"/>
      <c r="I32" s="2"/>
      <c r="J32" s="2"/>
      <c r="K32" s="142"/>
      <c r="L32" s="142"/>
      <c r="M32" s="142"/>
      <c r="N32" s="141"/>
      <c r="O32" s="2"/>
      <c r="P32" s="2"/>
      <c r="Q32" s="2"/>
      <c r="R32" s="2"/>
      <c r="S32" s="2"/>
      <c r="T32" s="2"/>
      <c r="U32" s="2"/>
      <c r="V32" s="2"/>
      <c r="W32" s="2"/>
      <c r="X32" s="2"/>
      <c r="Y32" s="2"/>
      <c r="Z32" s="2"/>
      <c r="AA32" s="2"/>
      <c r="AB32" s="2"/>
      <c r="AC32" s="2"/>
      <c r="AD32" s="2"/>
      <c r="AE32" s="2"/>
      <c r="AF32" s="2"/>
      <c r="AG32" s="2"/>
      <c r="AH32" s="2"/>
      <c r="AI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row>
    <row r="33" spans="1:72" s="3" customFormat="1" ht="15.65" customHeight="1" x14ac:dyDescent="0.35">
      <c r="A33" s="2"/>
      <c r="B33" s="194" t="s">
        <v>413</v>
      </c>
      <c r="C33" s="194"/>
      <c r="D33" s="194"/>
      <c r="E33" s="194"/>
      <c r="F33" s="2"/>
      <c r="G33" s="2"/>
      <c r="H33" s="52"/>
      <c r="I33" s="2"/>
      <c r="J33" s="972" t="s">
        <v>414</v>
      </c>
      <c r="K33" s="972"/>
      <c r="L33" s="972"/>
      <c r="M33" s="973"/>
      <c r="N33" s="2"/>
      <c r="O33" s="2"/>
      <c r="P33" s="2"/>
      <c r="Q33" s="2"/>
      <c r="R33" s="2"/>
      <c r="S33" s="2"/>
      <c r="T33" s="2"/>
      <c r="U33" s="2"/>
      <c r="V33" s="2"/>
      <c r="W33" s="2"/>
      <c r="X33" s="2"/>
      <c r="Y33" s="2"/>
      <c r="Z33" s="2"/>
      <c r="AA33" s="2"/>
      <c r="AB33" s="2"/>
      <c r="AC33" s="2"/>
      <c r="AD33" s="2"/>
      <c r="AE33" s="2"/>
      <c r="AF33" s="2"/>
      <c r="AG33" s="2"/>
      <c r="AH33" s="2"/>
      <c r="AI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row>
    <row r="34" spans="1:72" s="3" customFormat="1" ht="15.65" customHeight="1" thickBot="1" x14ac:dyDescent="0.4">
      <c r="A34" s="2"/>
      <c r="B34" s="104"/>
      <c r="C34" s="104"/>
      <c r="D34" s="104"/>
      <c r="E34" s="104"/>
      <c r="F34" s="2"/>
      <c r="G34" s="2"/>
      <c r="H34" s="48"/>
      <c r="J34" s="142"/>
      <c r="K34" s="398"/>
      <c r="L34" s="399"/>
      <c r="M34" s="142"/>
      <c r="N34" s="2"/>
      <c r="O34" s="2"/>
      <c r="P34" s="2"/>
      <c r="Q34" s="2"/>
      <c r="R34" s="2"/>
      <c r="S34" s="2"/>
      <c r="T34" s="2"/>
      <c r="U34" s="2"/>
      <c r="V34" s="2"/>
      <c r="W34" s="2"/>
      <c r="X34" s="2"/>
      <c r="Y34" s="2"/>
      <c r="Z34" s="2"/>
      <c r="AA34" s="2"/>
      <c r="AB34" s="2"/>
      <c r="AC34" s="2"/>
      <c r="AD34" s="2"/>
      <c r="AE34" s="2"/>
      <c r="AF34" s="2"/>
      <c r="AG34" s="2"/>
      <c r="AH34" s="2"/>
      <c r="AI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row>
    <row r="35" spans="1:72" s="3" customFormat="1" ht="15.65" customHeight="1" thickBot="1" x14ac:dyDescent="0.35">
      <c r="A35" s="2"/>
      <c r="B35" s="1123" t="s">
        <v>415</v>
      </c>
      <c r="C35" s="1098"/>
      <c r="D35" s="1098"/>
      <c r="E35" s="1098"/>
      <c r="F35" s="94"/>
      <c r="G35" s="2"/>
      <c r="H35" s="2"/>
      <c r="I35" s="2"/>
      <c r="J35" s="2"/>
      <c r="K35" s="491" t="s">
        <v>416</v>
      </c>
      <c r="L35" s="490"/>
      <c r="M35" s="148"/>
      <c r="N35" s="394" t="s">
        <v>417</v>
      </c>
      <c r="O35" s="394"/>
      <c r="P35" s="52"/>
      <c r="Q35" s="2"/>
      <c r="R35" s="2"/>
      <c r="S35" s="2"/>
      <c r="T35" s="2"/>
      <c r="U35" s="2"/>
      <c r="V35" s="2"/>
      <c r="W35" s="2"/>
      <c r="X35" s="2"/>
      <c r="Y35" s="2"/>
      <c r="Z35" s="2"/>
      <c r="AA35" s="2"/>
      <c r="AB35" s="2"/>
      <c r="AC35" s="2"/>
      <c r="AD35" s="2"/>
      <c r="AE35" s="2"/>
      <c r="AF35" s="2"/>
      <c r="AG35" s="2"/>
      <c r="AH35" s="2"/>
      <c r="AI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row>
    <row r="36" spans="1:72" s="3" customFormat="1" ht="15.65" customHeight="1" thickBot="1" x14ac:dyDescent="0.4">
      <c r="A36" s="2"/>
      <c r="B36" s="194" t="s">
        <v>418</v>
      </c>
      <c r="C36" s="469"/>
      <c r="D36" s="469"/>
      <c r="E36" s="469"/>
      <c r="F36" s="94"/>
      <c r="G36" s="2"/>
      <c r="H36" s="2"/>
      <c r="I36" s="2"/>
      <c r="J36" s="2"/>
      <c r="K36" s="492" t="s">
        <v>419</v>
      </c>
      <c r="L36" s="490"/>
      <c r="M36" s="148"/>
      <c r="N36" s="394" t="s">
        <v>417</v>
      </c>
      <c r="O36" s="394"/>
      <c r="P36" s="52"/>
      <c r="Q36" s="2"/>
      <c r="R36" s="2"/>
      <c r="S36" s="2"/>
      <c r="T36" s="2"/>
      <c r="U36" s="2"/>
      <c r="V36" s="2"/>
      <c r="W36" s="2"/>
      <c r="X36" s="2"/>
      <c r="Y36" s="2"/>
      <c r="Z36" s="2"/>
      <c r="AA36" s="2"/>
      <c r="AB36" s="2"/>
      <c r="AC36" s="2"/>
      <c r="AD36" s="2"/>
      <c r="AE36" s="2"/>
      <c r="AF36" s="2"/>
      <c r="AG36" s="2"/>
      <c r="AH36" s="2"/>
      <c r="AI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row>
    <row r="37" spans="1:72" s="3" customFormat="1" ht="15.75" customHeight="1" thickBot="1" x14ac:dyDescent="0.4">
      <c r="A37" s="2"/>
      <c r="B37" s="194"/>
      <c r="C37" s="194"/>
      <c r="D37" s="194"/>
      <c r="E37" s="194"/>
      <c r="F37" s="94"/>
      <c r="G37" s="2"/>
      <c r="H37" s="2"/>
      <c r="J37" s="141"/>
      <c r="K37" s="399"/>
      <c r="L37" s="399"/>
      <c r="M37" s="148"/>
      <c r="N37" s="395"/>
      <c r="O37" s="395"/>
      <c r="P37" s="2"/>
      <c r="Q37" s="2"/>
      <c r="R37" s="2"/>
      <c r="S37" s="2"/>
      <c r="T37" s="2"/>
      <c r="U37" s="2"/>
      <c r="V37" s="2"/>
      <c r="W37" s="2"/>
      <c r="X37" s="2"/>
      <c r="Y37" s="2"/>
      <c r="Z37" s="2"/>
      <c r="AA37" s="2"/>
      <c r="AB37" s="2"/>
      <c r="AC37" s="2"/>
      <c r="AD37" s="2"/>
      <c r="AE37" s="2"/>
      <c r="AF37" s="2"/>
      <c r="AG37" s="2"/>
      <c r="AH37" s="2"/>
      <c r="AI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row>
    <row r="38" spans="1:72" s="3" customFormat="1" ht="17.25" customHeight="1" thickBot="1" x14ac:dyDescent="0.4">
      <c r="A38" s="2"/>
      <c r="B38" s="194" t="s">
        <v>420</v>
      </c>
      <c r="C38" s="194"/>
      <c r="D38" s="194"/>
      <c r="E38" s="194"/>
      <c r="F38" s="94"/>
      <c r="G38" s="2"/>
      <c r="H38" s="2"/>
      <c r="I38" s="2"/>
      <c r="J38" s="523" t="s">
        <v>421</v>
      </c>
      <c r="K38" s="524" t="s">
        <v>422</v>
      </c>
      <c r="L38" s="525">
        <f>IF(K35="SLS",0.9,
IF(K35="ULS",
IF(K36="Low",0.8,
IF(K36="Normal",1,
IF(K36="High",1.15,
IF(K36="Post-Disaster",1.25,"")))),
""))</f>
        <v>1</v>
      </c>
      <c r="M38" s="148"/>
      <c r="N38" s="394" t="s">
        <v>417</v>
      </c>
      <c r="O38" s="394"/>
      <c r="P38" s="2"/>
      <c r="Q38" s="2"/>
      <c r="R38" s="2"/>
      <c r="S38" s="2"/>
      <c r="T38" s="2"/>
      <c r="U38" s="2"/>
      <c r="V38" s="2"/>
      <c r="W38" s="2"/>
      <c r="X38" s="2"/>
      <c r="Y38" s="2"/>
      <c r="Z38" s="2"/>
      <c r="AA38" s="2"/>
      <c r="AB38" s="2"/>
      <c r="AC38" s="2"/>
      <c r="AD38" s="2"/>
      <c r="AE38" s="2"/>
      <c r="AF38" s="2"/>
      <c r="AG38" s="2"/>
      <c r="AH38" s="2"/>
      <c r="AI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row>
    <row r="39" spans="1:72" s="3" customFormat="1" ht="15.75" customHeight="1" thickBot="1" x14ac:dyDescent="0.4">
      <c r="A39" s="2"/>
      <c r="B39" s="194"/>
      <c r="C39" s="104"/>
      <c r="D39" s="104"/>
      <c r="E39" s="104"/>
      <c r="F39" s="94"/>
      <c r="G39" s="2"/>
      <c r="H39" s="42"/>
      <c r="J39" s="142"/>
      <c r="K39" s="401"/>
      <c r="L39" s="399"/>
      <c r="M39" s="142"/>
      <c r="N39" s="2"/>
      <c r="O39" s="2"/>
      <c r="P39" s="2"/>
      <c r="Q39" s="2"/>
      <c r="R39" s="2"/>
      <c r="S39" s="2"/>
      <c r="T39" s="2"/>
      <c r="U39" s="2"/>
      <c r="V39" s="2"/>
      <c r="W39" s="2"/>
      <c r="X39" s="2"/>
      <c r="Y39" s="2"/>
      <c r="Z39" s="2"/>
      <c r="AA39" s="2"/>
      <c r="AB39" s="2"/>
      <c r="AC39" s="2"/>
      <c r="AD39" s="2"/>
      <c r="AE39" s="2"/>
      <c r="AF39" s="2"/>
      <c r="AG39" s="2"/>
      <c r="AH39" s="2"/>
      <c r="AI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row>
    <row r="40" spans="1:72" s="3" customFormat="1" ht="15.75" customHeight="1" thickBot="1" x14ac:dyDescent="0.4">
      <c r="A40" s="2"/>
      <c r="B40" s="194"/>
      <c r="C40" s="104"/>
      <c r="D40" s="104"/>
      <c r="E40" s="104"/>
      <c r="F40" s="94"/>
      <c r="G40" s="2"/>
      <c r="H40" s="2"/>
      <c r="I40" s="2"/>
      <c r="J40" s="400" t="s">
        <v>423</v>
      </c>
      <c r="K40" s="402" t="s">
        <v>422</v>
      </c>
      <c r="L40" s="403">
        <f>T17</f>
        <v>1.5</v>
      </c>
      <c r="M40" s="526" t="s">
        <v>366</v>
      </c>
      <c r="N40" s="393" t="s">
        <v>424</v>
      </c>
      <c r="O40" s="393"/>
      <c r="P40" s="393"/>
      <c r="Q40" s="2"/>
      <c r="R40" s="2"/>
      <c r="S40" s="2"/>
      <c r="T40" s="2"/>
      <c r="U40" s="2"/>
      <c r="V40" s="2"/>
      <c r="W40" s="2"/>
      <c r="X40" s="2"/>
      <c r="Y40" s="2"/>
      <c r="Z40" s="2"/>
      <c r="AA40" s="2"/>
      <c r="AB40" s="2"/>
      <c r="AC40" s="2"/>
      <c r="AD40" s="2"/>
      <c r="AE40" s="2"/>
      <c r="AF40" s="2"/>
      <c r="AG40" s="2"/>
      <c r="AH40" s="2"/>
      <c r="AI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row>
    <row r="41" spans="1:72" s="3" customFormat="1" ht="15.75" customHeight="1" thickBot="1" x14ac:dyDescent="0.4">
      <c r="A41" s="2"/>
      <c r="B41" s="104"/>
      <c r="C41" s="194"/>
      <c r="D41" s="194"/>
      <c r="E41" s="194"/>
      <c r="F41" s="2"/>
      <c r="G41" s="2"/>
      <c r="H41" s="1029" t="s">
        <v>425</v>
      </c>
      <c r="I41" s="1030"/>
      <c r="J41" s="400" t="s">
        <v>426</v>
      </c>
      <c r="K41" s="402" t="s">
        <v>422</v>
      </c>
      <c r="L41" s="403">
        <f>U17</f>
        <v>0.1</v>
      </c>
      <c r="M41" s="526" t="s">
        <v>366</v>
      </c>
      <c r="N41" s="2"/>
      <c r="O41" s="2"/>
      <c r="P41" s="2"/>
      <c r="Q41" s="2"/>
      <c r="R41" s="2"/>
      <c r="S41" s="2"/>
      <c r="T41" s="2"/>
      <c r="U41" s="2"/>
      <c r="V41" s="2"/>
      <c r="W41" s="2"/>
      <c r="X41" s="2"/>
      <c r="Y41" s="2"/>
      <c r="Z41" s="2"/>
      <c r="AA41" s="2"/>
      <c r="AB41" s="2"/>
      <c r="AC41" s="2"/>
      <c r="AD41" s="2"/>
      <c r="AE41" s="2"/>
      <c r="AF41" s="2"/>
      <c r="AG41" s="2"/>
      <c r="AH41" s="2"/>
      <c r="AI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row>
    <row r="42" spans="1:72" s="3" customFormat="1" ht="15.75" customHeight="1" x14ac:dyDescent="0.35">
      <c r="A42" s="2"/>
      <c r="B42" s="104"/>
      <c r="C42" s="104"/>
      <c r="D42" s="104"/>
      <c r="E42" s="104"/>
      <c r="F42" s="2"/>
      <c r="G42" s="2"/>
      <c r="H42" s="2"/>
      <c r="I42" s="2"/>
      <c r="J42" s="2"/>
      <c r="K42" s="2"/>
      <c r="L42" s="2"/>
      <c r="M42" s="2"/>
      <c r="N42" s="30"/>
      <c r="O42" s="2"/>
      <c r="P42" s="2"/>
      <c r="Q42" s="4"/>
      <c r="S42" s="38"/>
      <c r="T42" s="38"/>
      <c r="U42" s="38"/>
      <c r="V42" s="2"/>
      <c r="W42" s="2"/>
      <c r="X42" s="2"/>
      <c r="Y42" s="2"/>
      <c r="Z42" s="2"/>
      <c r="AA42" s="2"/>
      <c r="AB42" s="2"/>
      <c r="AC42" s="2"/>
      <c r="AD42" s="2"/>
      <c r="AE42" s="2"/>
      <c r="AF42" s="2"/>
      <c r="AG42" s="2"/>
      <c r="AH42" s="2"/>
      <c r="AI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row>
    <row r="43" spans="1:72" s="3" customFormat="1" ht="15.75" customHeight="1" x14ac:dyDescent="0.35">
      <c r="A43" s="2"/>
      <c r="B43" s="104"/>
      <c r="C43" s="70" t="s">
        <v>427</v>
      </c>
      <c r="D43" s="104"/>
      <c r="E43" s="104"/>
      <c r="F43" s="2"/>
      <c r="G43" s="2"/>
      <c r="H43" s="2"/>
      <c r="I43" s="2"/>
      <c r="J43" s="2"/>
      <c r="K43" s="2"/>
      <c r="L43" s="2"/>
      <c r="M43" s="2"/>
      <c r="N43" s="30"/>
      <c r="O43" s="2"/>
      <c r="P43" s="2"/>
      <c r="Q43" s="4"/>
      <c r="S43" s="38"/>
      <c r="T43" s="38"/>
      <c r="U43" s="38"/>
      <c r="V43" s="2"/>
      <c r="W43" s="2"/>
      <c r="X43" s="2"/>
      <c r="Y43" s="2"/>
      <c r="Z43" s="2"/>
      <c r="AA43" s="2"/>
      <c r="AB43" s="2"/>
      <c r="AC43" s="2"/>
      <c r="AD43" s="2"/>
      <c r="AE43" s="2"/>
      <c r="AF43" s="2"/>
      <c r="AG43" s="2"/>
      <c r="AH43" s="2"/>
      <c r="AI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row>
    <row r="44" spans="1:72" s="3" customFormat="1" ht="15.75" customHeight="1" x14ac:dyDescent="0.35">
      <c r="A44" s="2"/>
      <c r="B44" s="104"/>
      <c r="C44" s="71" t="s">
        <v>428</v>
      </c>
      <c r="D44" s="371"/>
      <c r="E44" s="371"/>
      <c r="F44" s="4"/>
      <c r="G44" s="2"/>
      <c r="H44" s="2"/>
      <c r="I44" s="2"/>
      <c r="J44" s="2"/>
      <c r="K44" s="2"/>
      <c r="L44" s="2"/>
      <c r="M44" s="2"/>
      <c r="N44" s="30"/>
      <c r="O44" s="2"/>
      <c r="P44" s="2"/>
      <c r="Q44" s="4"/>
      <c r="R44" s="2"/>
      <c r="S44" s="38"/>
      <c r="T44" s="38"/>
      <c r="U44" s="38"/>
      <c r="V44" s="2"/>
      <c r="W44" s="2"/>
      <c r="X44" s="2"/>
      <c r="Y44" s="2"/>
      <c r="Z44" s="2"/>
      <c r="AA44" s="2"/>
      <c r="AB44" s="2"/>
      <c r="AC44" s="2"/>
      <c r="AD44" s="2"/>
      <c r="AE44" s="2"/>
      <c r="AF44" s="2"/>
      <c r="AG44" s="2"/>
      <c r="AH44" s="2"/>
      <c r="AI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row>
    <row r="45" spans="1:72" s="3" customFormat="1" ht="15.75" customHeight="1" x14ac:dyDescent="0.35">
      <c r="A45" s="2"/>
      <c r="B45" s="104"/>
      <c r="C45" s="104" t="s">
        <v>429</v>
      </c>
      <c r="D45" s="104"/>
      <c r="E45" s="104"/>
      <c r="F45" s="47"/>
      <c r="G45" s="2"/>
      <c r="H45" s="2"/>
      <c r="I45" s="2"/>
      <c r="J45" s="2"/>
      <c r="K45" s="2"/>
      <c r="L45" s="2"/>
      <c r="M45" s="2"/>
      <c r="N45" s="30"/>
      <c r="O45" s="2"/>
      <c r="P45" s="2"/>
      <c r="Q45" s="4"/>
      <c r="R45" s="2"/>
      <c r="S45" s="38"/>
      <c r="T45" s="38"/>
      <c r="U45" s="38"/>
      <c r="V45" s="2"/>
      <c r="W45" s="2"/>
      <c r="X45" s="2"/>
      <c r="Y45" s="2"/>
      <c r="Z45" s="2"/>
      <c r="AA45" s="2"/>
      <c r="AB45" s="2"/>
      <c r="AC45" s="2"/>
      <c r="AD45" s="2"/>
      <c r="AE45" s="2"/>
      <c r="AF45" s="2"/>
      <c r="AG45" s="2"/>
      <c r="AH45" s="2"/>
      <c r="AI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row>
    <row r="46" spans="1:72" ht="15.75" customHeight="1" x14ac:dyDescent="0.3">
      <c r="F46" s="47"/>
      <c r="Q46" s="4"/>
      <c r="S46" s="38"/>
      <c r="T46" s="38"/>
      <c r="U46" s="38"/>
    </row>
    <row r="47" spans="1:72" ht="15.75" customHeight="1" x14ac:dyDescent="0.3">
      <c r="F47" s="47"/>
      <c r="Q47" s="4"/>
      <c r="S47" s="38"/>
      <c r="T47" s="38"/>
      <c r="U47" s="38"/>
    </row>
    <row r="48" spans="1:72" ht="15.75" customHeight="1" x14ac:dyDescent="0.35">
      <c r="D48" s="118" t="s">
        <v>430</v>
      </c>
      <c r="E48" s="290" t="s">
        <v>431</v>
      </c>
      <c r="F48" s="58"/>
      <c r="I48" s="45"/>
      <c r="M48" s="42"/>
      <c r="N48" s="2"/>
      <c r="T48" s="38"/>
      <c r="U48" s="38"/>
    </row>
    <row r="49" spans="3:21" ht="15.75" customHeight="1" x14ac:dyDescent="0.3">
      <c r="D49" s="44"/>
      <c r="E49" s="287"/>
      <c r="F49" s="42"/>
      <c r="P49" s="42"/>
      <c r="Q49" s="43"/>
      <c r="R49" s="42"/>
      <c r="S49" s="38"/>
      <c r="T49" s="38"/>
      <c r="U49" s="38"/>
    </row>
    <row r="50" spans="3:21" ht="20.5" customHeight="1" x14ac:dyDescent="0.35">
      <c r="D50" s="118" t="s">
        <v>391</v>
      </c>
      <c r="E50" s="502">
        <f>F11</f>
        <v>3.5</v>
      </c>
      <c r="F50" s="123" t="s">
        <v>392</v>
      </c>
      <c r="G50" s="118" t="s">
        <v>393</v>
      </c>
      <c r="H50" s="222">
        <f>I11</f>
        <v>6.6</v>
      </c>
      <c r="I50" s="959" t="s">
        <v>392</v>
      </c>
      <c r="J50" s="289"/>
      <c r="K50" s="222"/>
      <c r="L50" s="123"/>
      <c r="M50" s="58"/>
      <c r="N50" s="960"/>
      <c r="O50" s="961"/>
      <c r="P50" s="962"/>
    </row>
    <row r="51" spans="3:21" ht="16" customHeight="1" x14ac:dyDescent="0.3">
      <c r="G51" s="45"/>
      <c r="H51" s="45"/>
      <c r="I51" s="45"/>
      <c r="J51" s="45"/>
      <c r="K51" s="45"/>
      <c r="L51" s="45"/>
      <c r="N51" s="97"/>
      <c r="O51" s="43"/>
      <c r="P51" s="42"/>
      <c r="Q51" s="512"/>
      <c r="S51" s="42"/>
      <c r="T51" s="38"/>
      <c r="U51" s="38"/>
    </row>
    <row r="52" spans="3:21" ht="17.25" customHeight="1" x14ac:dyDescent="0.4">
      <c r="D52" s="466" t="s">
        <v>433</v>
      </c>
      <c r="E52" s="468"/>
      <c r="F52" s="73"/>
      <c r="I52" s="62"/>
      <c r="Q52" s="513"/>
      <c r="S52" s="38"/>
      <c r="T52" s="38"/>
      <c r="U52" s="38"/>
    </row>
    <row r="53" spans="3:21" ht="17.25" customHeight="1" x14ac:dyDescent="0.35">
      <c r="D53" s="92" t="s">
        <v>422</v>
      </c>
      <c r="E53" s="40">
        <f>2*(E50-(E50^2/H50))</f>
        <v>3.2878787878787876</v>
      </c>
      <c r="F53" s="73" t="s">
        <v>392</v>
      </c>
      <c r="I53" s="62"/>
      <c r="J53" s="535"/>
      <c r="K53" s="222"/>
      <c r="L53" s="536"/>
      <c r="Q53" s="513"/>
      <c r="S53" s="38"/>
      <c r="T53" s="38"/>
      <c r="U53" s="38"/>
    </row>
    <row r="54" spans="3:21" ht="15.75" customHeight="1" thickBot="1" x14ac:dyDescent="0.4">
      <c r="I54" s="62"/>
      <c r="J54" s="182"/>
      <c r="K54" s="41"/>
      <c r="L54" s="537"/>
      <c r="O54" s="396"/>
      <c r="P54" s="396"/>
      <c r="Q54" s="514"/>
      <c r="R54" s="515"/>
      <c r="S54" s="38"/>
      <c r="T54" s="38"/>
      <c r="U54" s="38"/>
    </row>
    <row r="55" spans="3:21" ht="17.25" customHeight="1" thickBot="1" x14ac:dyDescent="0.5">
      <c r="D55" s="500" t="s">
        <v>434</v>
      </c>
      <c r="E55" s="501">
        <f>(70/M63^2)</f>
        <v>70</v>
      </c>
      <c r="F55" s="73" t="s">
        <v>392</v>
      </c>
      <c r="G55" s="139" t="b">
        <f>IF(E53&lt;= E55, TRUE, "FALSE, Refer to Table 4.1.6.2.-B")</f>
        <v>1</v>
      </c>
      <c r="I55" s="62"/>
      <c r="K55" s="756" t="s">
        <v>435</v>
      </c>
      <c r="L55" s="755" t="s">
        <v>422</v>
      </c>
      <c r="M55" s="314">
        <f>IF(G55, 0.8)</f>
        <v>0.8</v>
      </c>
      <c r="R55" s="516"/>
      <c r="S55" s="510"/>
    </row>
    <row r="56" spans="3:21" ht="15.65" customHeight="1" x14ac:dyDescent="0.4">
      <c r="I56" s="62"/>
      <c r="J56" s="62"/>
      <c r="R56" s="516"/>
      <c r="S56" s="510"/>
    </row>
    <row r="57" spans="3:21" ht="15.65" customHeight="1" x14ac:dyDescent="0.4">
      <c r="R57" s="516"/>
      <c r="S57" s="510"/>
    </row>
    <row r="58" spans="3:21" ht="18.75" customHeight="1" x14ac:dyDescent="0.3">
      <c r="N58" s="2"/>
      <c r="O58" s="26"/>
      <c r="P58" s="394"/>
      <c r="Q58" s="394"/>
      <c r="R58" s="384"/>
      <c r="S58" s="42"/>
    </row>
    <row r="59" spans="3:21" ht="15.75" customHeight="1" x14ac:dyDescent="0.35">
      <c r="C59" s="70" t="s">
        <v>436</v>
      </c>
      <c r="D59" s="70"/>
      <c r="E59" s="70"/>
      <c r="F59" s="70"/>
      <c r="G59" s="52"/>
      <c r="N59" s="2"/>
      <c r="R59" s="517"/>
    </row>
    <row r="60" spans="3:21" ht="15.75" customHeight="1" x14ac:dyDescent="0.35">
      <c r="C60" s="70" t="s">
        <v>437</v>
      </c>
      <c r="D60" s="49"/>
      <c r="E60" s="49"/>
      <c r="F60" s="184"/>
      <c r="G60" s="52"/>
      <c r="N60" s="2"/>
      <c r="O60" s="30"/>
      <c r="R60" s="517"/>
    </row>
    <row r="61" spans="3:21" ht="15.75" customHeight="1" x14ac:dyDescent="0.35">
      <c r="C61" s="70"/>
      <c r="D61" s="49"/>
      <c r="E61" s="49"/>
      <c r="F61" s="184"/>
      <c r="G61" s="52"/>
      <c r="N61" s="2"/>
      <c r="O61" s="30"/>
      <c r="R61" s="517"/>
    </row>
    <row r="62" spans="3:21" ht="15.75" customHeight="1" thickBot="1" x14ac:dyDescent="0.4">
      <c r="D62" s="70"/>
      <c r="E62" s="70"/>
      <c r="F62" s="70"/>
      <c r="G62" s="52"/>
      <c r="N62" s="2"/>
      <c r="O62" s="30"/>
      <c r="R62" s="517"/>
    </row>
    <row r="63" spans="3:21" ht="17.25" customHeight="1" thickBot="1" x14ac:dyDescent="0.4">
      <c r="C63" s="754" t="s">
        <v>406</v>
      </c>
      <c r="D63" s="753"/>
      <c r="E63" s="1093" t="s">
        <v>3352</v>
      </c>
      <c r="F63" s="1094"/>
      <c r="G63" s="142"/>
      <c r="H63" s="1124" t="str">
        <f t="array" ref="H63">IsNorthOfTreeLine(E63)</f>
        <v>South of the treeline</v>
      </c>
      <c r="I63" s="1094"/>
      <c r="J63" s="142"/>
      <c r="K63" s="861" t="s">
        <v>439</v>
      </c>
      <c r="L63" s="862" t="s">
        <v>422</v>
      </c>
      <c r="M63" s="1036">
        <f>IFERROR(
  IF(VALUE(SUBSTITUTE(LEFT($E$65, FIND(",", $E$65&amp;",")-1)," ",""))&gt;=60,
     0.5,
     IF(ISNUMBER($E$67), IF($E$67&gt;=100000,1,0.75), 1)
  ),
  1
)</f>
        <v>1</v>
      </c>
      <c r="N63" s="541"/>
      <c r="O63" s="30"/>
      <c r="P63" s="397"/>
      <c r="R63" s="38"/>
    </row>
    <row r="64" spans="3:21" ht="15.75" customHeight="1" thickBot="1" x14ac:dyDescent="0.4">
      <c r="C64" s="95" t="s">
        <v>408</v>
      </c>
      <c r="E64" s="142"/>
      <c r="F64" s="142"/>
      <c r="G64" s="142"/>
      <c r="J64" s="142"/>
      <c r="N64" s="2"/>
      <c r="O64" s="752"/>
      <c r="P64" s="752"/>
      <c r="S64" s="1087"/>
      <c r="T64" s="1088"/>
      <c r="U64" s="1088"/>
    </row>
    <row r="65" spans="1:72" ht="15.75" customHeight="1" thickBot="1" x14ac:dyDescent="0.4">
      <c r="E65" s="1095" t="str">
        <f t="array" ref="E65">GetCoordinatesOfficial(E63)</f>
        <v>57.1825744, -111.6378436</v>
      </c>
      <c r="F65" s="1094"/>
      <c r="G65" s="142"/>
      <c r="H65" s="142"/>
      <c r="I65" s="142"/>
      <c r="J65" s="141"/>
      <c r="K65" s="888"/>
      <c r="L65" s="889"/>
      <c r="M65" s="885"/>
      <c r="N65" s="2"/>
      <c r="O65" s="751"/>
      <c r="P65" s="751"/>
      <c r="S65" s="38"/>
      <c r="T65" s="38"/>
      <c r="U65" s="38"/>
    </row>
    <row r="66" spans="1:72" ht="15.75" customHeight="1" x14ac:dyDescent="0.35">
      <c r="E66" s="860"/>
      <c r="F66" s="860"/>
      <c r="G66" s="142"/>
      <c r="H66" s="142"/>
      <c r="I66" s="142"/>
      <c r="J66" s="142"/>
      <c r="K66" s="142"/>
      <c r="L66" s="1125"/>
      <c r="M66" s="1086"/>
      <c r="N66" s="2"/>
      <c r="O66" s="751"/>
      <c r="P66" s="751"/>
      <c r="S66" s="38"/>
      <c r="T66" s="38"/>
      <c r="U66" s="38"/>
    </row>
    <row r="67" spans="1:72" ht="16.5" customHeight="1" x14ac:dyDescent="0.35">
      <c r="C67" s="953" t="s">
        <v>409</v>
      </c>
      <c r="D67" s="917"/>
      <c r="E67" s="893"/>
      <c r="F67" s="893"/>
      <c r="G67" s="142"/>
      <c r="L67" s="141"/>
      <c r="M67" s="902"/>
      <c r="N67" s="2"/>
      <c r="P67" s="897"/>
      <c r="R67" s="38"/>
    </row>
    <row r="68" spans="1:72" ht="17.25" customHeight="1" thickBot="1" x14ac:dyDescent="0.4">
      <c r="C68" s="921"/>
      <c r="D68" s="917"/>
      <c r="E68" s="893"/>
      <c r="F68" s="893"/>
      <c r="G68" s="142"/>
      <c r="L68" s="141"/>
      <c r="M68" s="902"/>
      <c r="N68" s="2"/>
      <c r="P68" s="897"/>
      <c r="R68" s="38"/>
    </row>
    <row r="69" spans="1:72" ht="15.75" customHeight="1" thickBot="1" x14ac:dyDescent="0.4">
      <c r="C69" s="922" t="s">
        <v>410</v>
      </c>
      <c r="D69" s="923"/>
      <c r="E69" s="1096" t="s">
        <v>440</v>
      </c>
      <c r="F69" s="1094"/>
      <c r="G69" s="26"/>
      <c r="H69" s="954"/>
      <c r="I69" s="954"/>
      <c r="J69" s="26"/>
      <c r="K69" s="955"/>
      <c r="L69" s="941"/>
      <c r="M69" s="902"/>
      <c r="N69" s="2"/>
      <c r="P69" s="901"/>
      <c r="S69" s="1087"/>
      <c r="T69" s="1088"/>
      <c r="U69" s="1088"/>
    </row>
    <row r="70" spans="1:72" ht="15.75" customHeight="1" x14ac:dyDescent="0.35">
      <c r="C70" s="922"/>
      <c r="D70" s="923"/>
      <c r="E70" s="221"/>
      <c r="G70" s="26"/>
      <c r="H70" s="954"/>
      <c r="I70" s="954"/>
      <c r="J70" s="26"/>
      <c r="K70" s="955"/>
      <c r="L70" s="941"/>
      <c r="M70" s="902"/>
      <c r="N70" s="2"/>
      <c r="P70" s="902"/>
      <c r="S70" s="38"/>
      <c r="T70" s="38"/>
      <c r="U70" s="38"/>
    </row>
    <row r="71" spans="1:72" ht="15.75" customHeight="1" x14ac:dyDescent="0.35">
      <c r="N71" s="2"/>
      <c r="O71" s="30"/>
      <c r="P71" s="397"/>
      <c r="Q71" s="282"/>
      <c r="S71" s="1087"/>
      <c r="T71" s="1088"/>
      <c r="U71" s="1088"/>
      <c r="X71" s="52"/>
    </row>
    <row r="72" spans="1:72" ht="15.65" hidden="1" customHeight="1" x14ac:dyDescent="0.3">
      <c r="C72" s="52" t="s">
        <v>462</v>
      </c>
      <c r="D72" s="52"/>
      <c r="E72" s="52"/>
      <c r="F72" s="52"/>
      <c r="N72" s="2"/>
      <c r="O72" s="30"/>
      <c r="S72" s="38"/>
      <c r="T72" s="38"/>
      <c r="U72" s="38"/>
    </row>
    <row r="73" spans="1:72" ht="15.75" hidden="1" customHeight="1" x14ac:dyDescent="0.3">
      <c r="C73" s="52"/>
      <c r="D73" s="52"/>
      <c r="E73" s="52"/>
      <c r="F73" s="52"/>
      <c r="N73" s="2"/>
      <c r="O73" s="30"/>
      <c r="S73" s="38"/>
      <c r="T73" s="38"/>
      <c r="U73" s="38"/>
    </row>
    <row r="74" spans="1:72" ht="15.75" customHeight="1" x14ac:dyDescent="0.3">
      <c r="C74" s="52" t="s">
        <v>428</v>
      </c>
      <c r="D74" s="52"/>
      <c r="E74" s="52"/>
      <c r="F74" s="52"/>
      <c r="N74" s="2"/>
      <c r="O74" s="30"/>
      <c r="S74" s="38"/>
      <c r="T74" s="38"/>
      <c r="U74" s="38"/>
    </row>
    <row r="75" spans="1:72" ht="15.65" hidden="1" customHeight="1" x14ac:dyDescent="0.35">
      <c r="C75" s="52"/>
      <c r="D75" s="52"/>
      <c r="E75" s="52"/>
      <c r="F75" s="52"/>
      <c r="N75" s="2"/>
      <c r="O75" s="30"/>
      <c r="S75" s="1087"/>
      <c r="T75" s="1088"/>
      <c r="U75" s="1088"/>
    </row>
    <row r="76" spans="1:72" ht="15.65" hidden="1" customHeight="1" x14ac:dyDescent="0.35">
      <c r="D76" s="304"/>
      <c r="E76" s="184"/>
      <c r="F76" s="184"/>
      <c r="G76" s="184"/>
      <c r="K76" s="1031"/>
      <c r="L76" s="92"/>
      <c r="M76" s="1032"/>
      <c r="S76" s="38"/>
      <c r="T76" s="38"/>
      <c r="U76" s="38"/>
    </row>
    <row r="77" spans="1:72" ht="15.75" hidden="1" customHeight="1" x14ac:dyDescent="0.3">
      <c r="E77" s="47"/>
      <c r="F77" s="47"/>
      <c r="G77" s="46"/>
      <c r="S77" s="38"/>
      <c r="T77" s="38"/>
      <c r="U77" s="38"/>
    </row>
    <row r="78" spans="1:72" ht="15.75" customHeight="1" x14ac:dyDescent="0.3">
      <c r="E78" s="47"/>
      <c r="F78" s="47"/>
      <c r="G78" s="46"/>
      <c r="S78" s="38"/>
      <c r="T78" s="38"/>
      <c r="U78" s="38"/>
    </row>
    <row r="79" spans="1:72" s="3" customFormat="1" ht="15.75" customHeight="1" thickBot="1" x14ac:dyDescent="0.35">
      <c r="A79" s="2"/>
      <c r="B79" s="2"/>
      <c r="C79" s="2"/>
      <c r="D79" s="2"/>
      <c r="E79" s="47"/>
      <c r="F79" s="47"/>
      <c r="G79" s="46"/>
      <c r="H79" s="2"/>
      <c r="I79" s="2"/>
      <c r="J79" s="2"/>
      <c r="K79" s="2"/>
      <c r="L79" s="2"/>
      <c r="M79" s="2"/>
      <c r="N79" s="30"/>
      <c r="O79" s="2"/>
      <c r="P79" s="2"/>
      <c r="Q79" s="2"/>
      <c r="R79" s="2"/>
      <c r="S79" s="38"/>
      <c r="T79" s="38"/>
      <c r="U79" s="38"/>
      <c r="V79" s="2"/>
      <c r="W79" s="2"/>
      <c r="X79" s="2"/>
      <c r="Y79" s="2"/>
      <c r="Z79" s="2"/>
      <c r="AA79" s="2"/>
      <c r="AB79" s="2"/>
      <c r="AC79" s="2"/>
      <c r="AD79" s="2"/>
      <c r="AE79" s="2"/>
      <c r="AF79" s="2"/>
      <c r="AG79" s="2"/>
      <c r="AH79" s="2"/>
      <c r="AI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row>
    <row r="80" spans="1:72" s="3" customFormat="1" ht="15.75" customHeight="1" thickBot="1" x14ac:dyDescent="0.4">
      <c r="A80" s="2"/>
      <c r="B80" s="2"/>
      <c r="C80" s="373" t="s">
        <v>466</v>
      </c>
      <c r="D80" s="329" t="s">
        <v>467</v>
      </c>
      <c r="E80" s="309">
        <v>1</v>
      </c>
      <c r="F80" s="41" t="s">
        <v>468</v>
      </c>
      <c r="G80" s="316" t="s">
        <v>469</v>
      </c>
      <c r="H80" s="2"/>
      <c r="I80" s="38"/>
      <c r="J80" s="2"/>
      <c r="K80" s="139" t="b">
        <f>IF(L76&lt;=30, TRUE, FALSE)</f>
        <v>1</v>
      </c>
      <c r="L80" s="2"/>
      <c r="N80" s="30"/>
      <c r="O80" s="47"/>
      <c r="P80" s="2"/>
      <c r="Q80" s="2"/>
      <c r="R80" s="2"/>
      <c r="S80" s="38"/>
      <c r="T80" s="38"/>
      <c r="U80" s="38"/>
      <c r="V80" s="2"/>
      <c r="W80" s="2"/>
      <c r="X80" s="2"/>
      <c r="Y80" s="2"/>
      <c r="Z80" s="2"/>
      <c r="AA80" s="2"/>
      <c r="AB80" s="2"/>
      <c r="AC80" s="2"/>
      <c r="AD80" s="2"/>
      <c r="AE80" s="2"/>
      <c r="AF80" s="2"/>
      <c r="AG80" s="2"/>
      <c r="AH80" s="2"/>
      <c r="AI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row>
    <row r="81" spans="1:72" s="3" customFormat="1" ht="15.75" customHeight="1" x14ac:dyDescent="0.35">
      <c r="A81" s="2"/>
      <c r="B81" s="2"/>
      <c r="C81" s="373"/>
      <c r="D81" s="308"/>
      <c r="E81" s="47"/>
      <c r="F81" s="41"/>
      <c r="G81" s="30"/>
      <c r="H81" s="2"/>
      <c r="J81" s="2"/>
      <c r="K81" s="97"/>
      <c r="L81" s="2"/>
      <c r="N81" s="30"/>
      <c r="O81" s="2"/>
      <c r="P81" s="2"/>
      <c r="Q81" s="2"/>
      <c r="R81" s="2"/>
      <c r="S81" s="38"/>
      <c r="T81" s="38"/>
      <c r="U81" s="38"/>
      <c r="V81" s="2"/>
      <c r="W81" s="2"/>
      <c r="X81" s="2"/>
      <c r="Y81" s="2"/>
      <c r="Z81" s="2"/>
      <c r="AA81" s="2"/>
      <c r="AB81" s="2"/>
      <c r="AC81" s="2"/>
      <c r="AD81" s="2"/>
      <c r="AE81" s="2"/>
      <c r="AF81" s="2"/>
      <c r="AG81" s="2"/>
      <c r="AH81" s="2"/>
      <c r="AI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row>
    <row r="82" spans="1:72" s="3" customFormat="1" ht="15.75" customHeight="1" x14ac:dyDescent="0.35">
      <c r="A82" s="2"/>
      <c r="B82" s="2"/>
      <c r="C82" s="373"/>
      <c r="D82" s="308"/>
      <c r="E82" s="47"/>
      <c r="F82" s="41"/>
      <c r="G82" s="30"/>
      <c r="H82" s="2"/>
      <c r="J82" s="2"/>
      <c r="K82" s="97"/>
      <c r="L82" s="2"/>
      <c r="N82" s="30"/>
      <c r="O82" s="2"/>
      <c r="P82" s="2"/>
      <c r="Q82" s="2"/>
      <c r="R82" s="2"/>
      <c r="S82" s="38"/>
      <c r="T82" s="38"/>
      <c r="U82" s="38"/>
      <c r="V82" s="2"/>
      <c r="W82" s="2"/>
      <c r="X82" s="2"/>
      <c r="Y82" s="2"/>
      <c r="Z82" s="2"/>
      <c r="AA82" s="2"/>
      <c r="AB82" s="2"/>
      <c r="AC82" s="2"/>
      <c r="AD82" s="2"/>
      <c r="AE82" s="2"/>
      <c r="AF82" s="2"/>
      <c r="AG82" s="2"/>
      <c r="AH82" s="2"/>
      <c r="AI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row>
    <row r="83" spans="1:72" s="3" customFormat="1" ht="15.75" customHeight="1" thickBot="1" x14ac:dyDescent="0.4">
      <c r="A83" s="2"/>
      <c r="B83" s="2"/>
      <c r="C83" s="373"/>
      <c r="D83" s="308"/>
      <c r="E83" s="2"/>
      <c r="F83" s="41"/>
      <c r="G83" s="30"/>
      <c r="H83" s="2"/>
      <c r="J83" s="2"/>
      <c r="K83" s="97"/>
      <c r="L83" s="2"/>
      <c r="N83" s="30"/>
      <c r="O83" s="2"/>
      <c r="P83" s="2"/>
      <c r="Q83" s="2"/>
      <c r="R83" s="2"/>
      <c r="S83" s="7"/>
      <c r="T83" s="2"/>
      <c r="U83" s="2"/>
      <c r="V83" s="2"/>
      <c r="W83" s="2"/>
      <c r="X83" s="2"/>
      <c r="Y83" s="2"/>
      <c r="Z83" s="2"/>
      <c r="AA83" s="2"/>
      <c r="AB83" s="2"/>
      <c r="AC83" s="2"/>
      <c r="AD83" s="2"/>
      <c r="AE83" s="2"/>
      <c r="AF83" s="2"/>
      <c r="AG83" s="2"/>
      <c r="AH83" s="2"/>
      <c r="AI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row>
    <row r="84" spans="1:72" s="3" customFormat="1" ht="15.65" customHeight="1" thickBot="1" x14ac:dyDescent="0.4">
      <c r="A84" s="2"/>
      <c r="B84" s="2"/>
      <c r="C84" s="373" t="s">
        <v>470</v>
      </c>
      <c r="D84" s="329" t="s">
        <v>471</v>
      </c>
      <c r="E84" s="2"/>
      <c r="F84" s="3" t="s">
        <v>472</v>
      </c>
      <c r="G84" s="1025" t="s">
        <v>473</v>
      </c>
      <c r="H84" s="2"/>
      <c r="I84" s="50"/>
      <c r="J84" s="2"/>
      <c r="K84" s="140" t="b">
        <f>IF(AND(E85&gt;30,E85&lt;70), TRUE,FALSE)</f>
        <v>0</v>
      </c>
      <c r="L84" s="2"/>
      <c r="M84" s="50"/>
      <c r="N84" s="30"/>
      <c r="O84" s="2"/>
      <c r="P84" s="2"/>
      <c r="Q84" s="2"/>
      <c r="R84" s="2"/>
      <c r="S84" s="2"/>
      <c r="T84" s="2"/>
      <c r="U84" s="2"/>
      <c r="V84" s="2"/>
      <c r="W84" s="2"/>
      <c r="X84" s="2"/>
      <c r="Y84" s="2"/>
      <c r="Z84" s="2"/>
      <c r="AA84" s="2"/>
      <c r="AB84" s="2"/>
      <c r="AC84" s="2"/>
      <c r="AD84" s="2"/>
      <c r="AE84" s="2"/>
      <c r="AF84" s="2"/>
      <c r="AG84" s="2"/>
      <c r="AH84" s="2"/>
      <c r="AI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row>
    <row r="85" spans="1:72" s="3" customFormat="1" ht="15.75" customHeight="1" x14ac:dyDescent="0.35">
      <c r="A85" s="2"/>
      <c r="B85" s="2"/>
      <c r="C85" s="373"/>
      <c r="D85" s="1037" t="s">
        <v>463</v>
      </c>
      <c r="E85" s="1038">
        <f>(70 -L76)/40</f>
        <v>1.75</v>
      </c>
      <c r="F85" s="1039" t="s">
        <v>474</v>
      </c>
      <c r="G85" s="30"/>
      <c r="H85" s="40"/>
      <c r="I85" s="50"/>
      <c r="J85" s="2"/>
      <c r="K85" s="322"/>
      <c r="L85" s="2"/>
      <c r="M85" s="50"/>
      <c r="N85" s="30"/>
      <c r="O85" s="2"/>
      <c r="P85" s="2"/>
      <c r="Q85" s="2"/>
      <c r="R85" s="2"/>
      <c r="S85" s="2"/>
      <c r="T85" s="458"/>
      <c r="U85" s="2"/>
      <c r="V85" s="2"/>
      <c r="W85" s="2"/>
      <c r="X85" s="2"/>
      <c r="Y85" s="2"/>
      <c r="Z85" s="2"/>
      <c r="AA85" s="2"/>
      <c r="AB85" s="2"/>
      <c r="AC85" s="2"/>
      <c r="AD85" s="2"/>
      <c r="AE85" s="2"/>
      <c r="AF85" s="2"/>
      <c r="AG85" s="2"/>
      <c r="AH85" s="2"/>
      <c r="AI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row>
    <row r="86" spans="1:72" s="3" customFormat="1" ht="15.75" customHeight="1" thickBot="1" x14ac:dyDescent="0.4">
      <c r="A86" s="2"/>
      <c r="B86" s="2"/>
      <c r="C86" s="380"/>
      <c r="G86" s="109"/>
      <c r="J86" s="2"/>
      <c r="K86" s="125"/>
      <c r="L86" s="2"/>
      <c r="N86" s="30"/>
      <c r="O86" s="2"/>
      <c r="P86" s="2"/>
      <c r="Q86" s="2"/>
      <c r="R86" s="2"/>
      <c r="S86" s="2"/>
      <c r="T86" s="458"/>
      <c r="U86" s="2"/>
      <c r="V86" s="2"/>
      <c r="W86" s="2"/>
      <c r="X86" s="2"/>
      <c r="Y86" s="2"/>
      <c r="Z86" s="2"/>
      <c r="AA86" s="2"/>
      <c r="AB86" s="2"/>
      <c r="AC86" s="2"/>
      <c r="AD86" s="2"/>
      <c r="AE86" s="2"/>
      <c r="AF86" s="2"/>
      <c r="AG86" s="2"/>
      <c r="AH86" s="2"/>
      <c r="AI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row>
    <row r="87" spans="1:72" s="3" customFormat="1" ht="17.25" customHeight="1" thickBot="1" x14ac:dyDescent="0.4">
      <c r="A87" s="2"/>
      <c r="B87" s="2"/>
      <c r="C87" s="373" t="s">
        <v>475</v>
      </c>
      <c r="D87" s="329" t="s">
        <v>476</v>
      </c>
      <c r="E87" s="43">
        <v>0</v>
      </c>
      <c r="F87" s="109" t="s">
        <v>468</v>
      </c>
      <c r="G87" s="97" t="s">
        <v>477</v>
      </c>
      <c r="H87" s="2"/>
      <c r="I87" s="50"/>
      <c r="J87" s="2"/>
      <c r="K87" s="140" t="b">
        <f>IF(L76&gt;70,TRUE,FALSE)</f>
        <v>0</v>
      </c>
      <c r="L87" s="2"/>
      <c r="M87" s="50"/>
      <c r="N87" s="30"/>
      <c r="O87" s="2"/>
      <c r="P87" s="2"/>
      <c r="Q87" s="282"/>
      <c r="S87" s="2"/>
      <c r="T87" s="458"/>
      <c r="U87" s="2"/>
      <c r="V87" s="2"/>
      <c r="W87" s="2"/>
      <c r="X87" s="2"/>
      <c r="Y87" s="2"/>
      <c r="Z87" s="2"/>
      <c r="AA87" s="2"/>
      <c r="AB87" s="2"/>
      <c r="AC87" s="2"/>
      <c r="AD87" s="2"/>
      <c r="AE87" s="2"/>
      <c r="AF87" s="2"/>
      <c r="AG87" s="2"/>
      <c r="AH87" s="2"/>
      <c r="AI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row>
    <row r="88" spans="1:72" s="3" customFormat="1" ht="15.75" customHeight="1" thickBot="1" x14ac:dyDescent="0.35">
      <c r="A88" s="2"/>
      <c r="B88" s="2"/>
      <c r="C88" s="2"/>
      <c r="D88" s="2"/>
      <c r="E88" s="2"/>
      <c r="F88" s="97"/>
      <c r="G88" s="4"/>
      <c r="H88" s="2"/>
      <c r="I88" s="2"/>
      <c r="J88" s="2"/>
      <c r="K88" s="2"/>
      <c r="L88" s="2"/>
      <c r="M88" s="2"/>
      <c r="N88" s="126"/>
      <c r="O88" s="2"/>
      <c r="P88" s="2"/>
      <c r="Q88" s="282"/>
      <c r="S88" s="2"/>
      <c r="T88" s="458"/>
      <c r="U88" s="2"/>
      <c r="V88" s="2"/>
      <c r="W88" s="2"/>
      <c r="X88" s="2"/>
      <c r="Y88" s="2"/>
      <c r="Z88" s="2"/>
      <c r="AA88" s="2"/>
      <c r="AB88" s="2"/>
      <c r="AC88" s="2"/>
      <c r="AD88" s="2"/>
      <c r="AE88" s="2"/>
      <c r="AF88" s="2"/>
      <c r="AG88" s="2"/>
      <c r="AH88" s="2"/>
      <c r="AI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row>
    <row r="89" spans="1:72" s="3" customFormat="1" ht="15.75" hidden="1" customHeight="1" x14ac:dyDescent="0.3">
      <c r="A89" s="2"/>
      <c r="B89" s="2"/>
      <c r="C89" s="2"/>
      <c r="D89" s="2"/>
      <c r="E89" s="2"/>
      <c r="F89" s="44"/>
      <c r="G89" s="4"/>
      <c r="H89" s="2"/>
      <c r="I89" s="126"/>
      <c r="J89" s="2"/>
      <c r="K89" s="2"/>
      <c r="L89" s="2"/>
      <c r="M89" s="2"/>
      <c r="N89" s="30"/>
      <c r="O89" s="2"/>
      <c r="P89" s="2"/>
      <c r="Q89" s="282"/>
      <c r="S89" s="2"/>
      <c r="T89" s="458"/>
      <c r="U89" s="2"/>
      <c r="V89" s="2"/>
      <c r="W89" s="2"/>
      <c r="X89" s="2"/>
      <c r="Y89" s="2"/>
      <c r="Z89" s="2"/>
      <c r="AA89" s="2"/>
      <c r="AB89" s="2"/>
      <c r="AC89" s="2"/>
      <c r="AD89" s="2"/>
      <c r="AE89" s="2"/>
      <c r="AF89" s="2"/>
      <c r="AG89" s="2"/>
      <c r="AH89" s="2"/>
      <c r="AI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row>
    <row r="90" spans="1:72" s="3" customFormat="1" ht="15.75" hidden="1" customHeight="1" x14ac:dyDescent="0.3">
      <c r="A90" s="2"/>
      <c r="B90" s="2"/>
      <c r="C90" s="2"/>
      <c r="D90" s="2"/>
      <c r="E90" s="2"/>
      <c r="F90" s="2"/>
      <c r="G90" s="2"/>
      <c r="H90" s="2"/>
      <c r="I90" s="2"/>
      <c r="J90" s="2"/>
      <c r="K90" s="506" t="s">
        <v>478</v>
      </c>
      <c r="L90" s="298" t="s">
        <v>422</v>
      </c>
      <c r="M90" s="313">
        <f>IF(K80=TRUE, 1, IF(K84=TRUE, 1, IF(K87=TRUE, 0)))</f>
        <v>1</v>
      </c>
      <c r="N90" s="30"/>
      <c r="O90" s="2"/>
      <c r="P90" s="2"/>
      <c r="Q90" s="281"/>
      <c r="R90" s="517"/>
      <c r="S90" s="2"/>
      <c r="T90" s="2"/>
      <c r="U90" s="2"/>
      <c r="V90" s="2"/>
      <c r="W90" s="2"/>
      <c r="X90" s="2"/>
      <c r="Y90" s="2"/>
      <c r="Z90" s="2"/>
      <c r="AB90" s="2"/>
      <c r="AC90" s="2"/>
      <c r="AD90" s="2"/>
      <c r="AE90" s="2"/>
      <c r="AF90" s="2"/>
      <c r="AG90" s="2"/>
      <c r="AH90" s="2"/>
      <c r="AI90" s="2"/>
      <c r="AJ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row>
    <row r="91" spans="1:72" s="3" customFormat="1" ht="15.65" hidden="1" customHeight="1" x14ac:dyDescent="0.35">
      <c r="A91" s="2"/>
      <c r="B91" s="2"/>
      <c r="C91" s="2"/>
      <c r="D91" s="2"/>
      <c r="E91" s="2"/>
      <c r="F91" s="2"/>
      <c r="G91" s="2"/>
      <c r="H91" s="2"/>
      <c r="I91" s="42"/>
      <c r="J91" s="2"/>
      <c r="K91" s="38"/>
      <c r="L91" s="2"/>
      <c r="M91" s="2"/>
      <c r="N91" s="30"/>
      <c r="O91" s="2"/>
      <c r="P91" s="2"/>
      <c r="Q91" s="456"/>
      <c r="R91" s="50"/>
      <c r="S91" s="38"/>
      <c r="T91" s="2"/>
      <c r="U91" s="2"/>
      <c r="V91" s="2"/>
      <c r="W91" s="2"/>
      <c r="X91" s="2"/>
      <c r="Y91" s="2"/>
      <c r="Z91" s="2"/>
      <c r="AA91" s="2"/>
      <c r="AB91" s="2"/>
      <c r="AC91" s="2"/>
      <c r="AD91" s="2"/>
      <c r="AE91" s="2"/>
      <c r="AF91" s="2"/>
      <c r="AG91" s="2"/>
      <c r="AH91" s="2"/>
      <c r="AI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row>
    <row r="92" spans="1:72" s="3" customFormat="1" ht="15.65" hidden="1" customHeight="1" x14ac:dyDescent="0.3">
      <c r="A92" s="2"/>
      <c r="B92" s="2"/>
      <c r="C92" s="52" t="s">
        <v>479</v>
      </c>
      <c r="D92" s="52"/>
      <c r="E92" s="52"/>
      <c r="F92" s="52"/>
      <c r="G92" s="52"/>
      <c r="H92" s="2"/>
      <c r="I92" s="2"/>
      <c r="J92" s="2"/>
      <c r="K92" s="2"/>
      <c r="L92" s="2"/>
      <c r="M92" s="2"/>
      <c r="N92" s="30"/>
      <c r="O92" s="2"/>
      <c r="P92" s="2"/>
      <c r="Q92" s="281"/>
      <c r="R92" s="517"/>
      <c r="S92" s="2"/>
      <c r="T92" s="2"/>
      <c r="U92" s="2"/>
      <c r="V92" s="2"/>
      <c r="W92" s="2"/>
      <c r="X92" s="2"/>
      <c r="Y92" s="2"/>
      <c r="Z92" s="2"/>
      <c r="AA92" s="2"/>
      <c r="AB92" s="2"/>
      <c r="AC92" s="2"/>
      <c r="AD92" s="2"/>
      <c r="AE92" s="2"/>
      <c r="AF92" s="2"/>
      <c r="AG92" s="2"/>
      <c r="AH92" s="2"/>
      <c r="AI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row>
    <row r="93" spans="1:72" s="3" customFormat="1" ht="15.65" hidden="1" customHeight="1" x14ac:dyDescent="0.3">
      <c r="A93" s="2"/>
      <c r="B93" s="2"/>
      <c r="C93" s="52" t="s">
        <v>428</v>
      </c>
      <c r="D93" s="2"/>
      <c r="E93" s="2"/>
      <c r="F93" s="2"/>
      <c r="G93" s="2"/>
      <c r="H93" s="2"/>
      <c r="I93" s="2"/>
      <c r="J93" s="2"/>
      <c r="K93" s="38"/>
      <c r="L93" s="2"/>
      <c r="M93" s="2"/>
      <c r="N93" s="30"/>
      <c r="O93" s="2"/>
      <c r="P93" s="2"/>
      <c r="Q93" s="457"/>
      <c r="R93" s="38"/>
      <c r="S93" s="38"/>
      <c r="T93" s="2"/>
      <c r="U93" s="2"/>
      <c r="V93" s="2"/>
      <c r="W93" s="2"/>
      <c r="X93" s="2"/>
      <c r="Y93" s="2"/>
      <c r="Z93" s="2"/>
      <c r="AA93" s="2"/>
      <c r="AB93" s="2"/>
      <c r="AC93" s="2"/>
      <c r="AD93" s="2"/>
      <c r="AE93" s="2"/>
      <c r="AF93" s="2"/>
      <c r="AG93" s="2"/>
      <c r="AH93" s="2"/>
      <c r="AI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row>
    <row r="94" spans="1:72" ht="15.65" hidden="1" customHeight="1" x14ac:dyDescent="0.3">
      <c r="E94" s="28"/>
      <c r="F94" s="28"/>
      <c r="G94" s="28"/>
      <c r="H94" s="28"/>
      <c r="I94" s="28"/>
      <c r="K94" s="316"/>
      <c r="L94" s="28"/>
      <c r="M94" s="28"/>
      <c r="Q94" s="455"/>
      <c r="R94" s="38"/>
    </row>
    <row r="95" spans="1:72" ht="15.65" hidden="1" customHeight="1" x14ac:dyDescent="0.35">
      <c r="C95" s="104" t="s">
        <v>480</v>
      </c>
      <c r="D95" s="508" t="s">
        <v>481</v>
      </c>
      <c r="E95" s="288">
        <v>1</v>
      </c>
      <c r="G95" s="317" t="str">
        <f>IF(E95 = 1, "Snow Load is uniform", "Non-uniform snow load, try case a)")</f>
        <v>Snow Load is uniform</v>
      </c>
      <c r="H95" s="318"/>
      <c r="K95" s="505" t="s">
        <v>482</v>
      </c>
      <c r="L95" s="298" t="s">
        <v>422</v>
      </c>
      <c r="M95" s="313">
        <v>1</v>
      </c>
      <c r="Q95" s="38"/>
      <c r="R95" s="38"/>
      <c r="S95" s="38"/>
    </row>
    <row r="96" spans="1:72" ht="15.65" hidden="1" customHeight="1" x14ac:dyDescent="0.3">
      <c r="N96" s="2"/>
      <c r="Q96" s="38"/>
      <c r="R96" s="38"/>
      <c r="S96" s="38"/>
    </row>
    <row r="97" spans="2:20" ht="15.65" hidden="1" customHeight="1" x14ac:dyDescent="0.3">
      <c r="C97" s="2" t="s">
        <v>483</v>
      </c>
      <c r="H97" s="493"/>
      <c r="N97" s="2"/>
      <c r="Q97" s="38"/>
      <c r="R97" s="38"/>
      <c r="S97" s="38"/>
    </row>
    <row r="98" spans="2:20" ht="15.65" hidden="1" customHeight="1" x14ac:dyDescent="0.3">
      <c r="E98" s="2" t="s">
        <v>484</v>
      </c>
      <c r="H98" s="494"/>
      <c r="N98" s="2"/>
      <c r="S98" s="38"/>
    </row>
    <row r="99" spans="2:20" ht="15.65" hidden="1" customHeight="1" x14ac:dyDescent="0.3">
      <c r="H99" s="494"/>
      <c r="N99" s="2"/>
      <c r="Q99" s="38"/>
      <c r="R99" s="38"/>
      <c r="T99" s="458"/>
    </row>
    <row r="100" spans="2:20" ht="15.65" hidden="1" customHeight="1" x14ac:dyDescent="0.3">
      <c r="E100" s="2" t="s">
        <v>485</v>
      </c>
      <c r="H100" s="494"/>
      <c r="N100" s="57" t="s">
        <v>486</v>
      </c>
      <c r="Q100" s="54"/>
      <c r="R100" s="55"/>
      <c r="T100" s="458"/>
    </row>
    <row r="101" spans="2:20" ht="15.65" hidden="1" customHeight="1" x14ac:dyDescent="0.3">
      <c r="H101" s="494"/>
      <c r="N101" s="2"/>
      <c r="Q101" s="38"/>
      <c r="R101" s="38"/>
      <c r="T101" s="458"/>
    </row>
    <row r="102" spans="2:20" ht="15.65" hidden="1" customHeight="1" x14ac:dyDescent="0.3">
      <c r="E102" s="2" t="s">
        <v>487</v>
      </c>
      <c r="H102" s="494"/>
      <c r="N102" s="56" t="s">
        <v>389</v>
      </c>
      <c r="Q102" s="55"/>
      <c r="R102" s="55"/>
      <c r="T102" s="458"/>
    </row>
    <row r="103" spans="2:20" ht="15.75" hidden="1" customHeight="1" x14ac:dyDescent="0.3">
      <c r="H103" s="494"/>
      <c r="N103" s="2"/>
      <c r="Q103" s="38"/>
      <c r="R103" s="38"/>
      <c r="T103" s="458"/>
    </row>
    <row r="104" spans="2:20" ht="15.75" customHeight="1" thickBot="1" x14ac:dyDescent="0.4">
      <c r="H104" s="271"/>
      <c r="K104" s="506" t="s">
        <v>3348</v>
      </c>
      <c r="L104" s="298" t="s">
        <v>422</v>
      </c>
      <c r="M104" s="313">
        <f>IF(K80=TRUE, 1, IF(K84=TRUE, 1, IF(K87=TRUE, 0)))</f>
        <v>1</v>
      </c>
      <c r="N104" s="48"/>
      <c r="O104" s="3"/>
      <c r="R104" s="511"/>
    </row>
    <row r="105" spans="2:20" ht="16.5" customHeight="1" x14ac:dyDescent="0.35">
      <c r="G105" s="280"/>
      <c r="H105" s="271"/>
      <c r="N105" s="48"/>
      <c r="O105" s="3"/>
      <c r="R105" s="511"/>
    </row>
    <row r="106" spans="2:20" ht="16.5" customHeight="1" x14ac:dyDescent="0.35">
      <c r="D106" s="118"/>
      <c r="N106" s="2"/>
    </row>
    <row r="107" spans="2:20" ht="16.5" customHeight="1" thickBot="1" x14ac:dyDescent="0.45">
      <c r="D107" s="118"/>
      <c r="E107" s="474"/>
      <c r="F107" s="475"/>
      <c r="G107" s="475"/>
      <c r="H107" s="496"/>
      <c r="K107" s="1033"/>
      <c r="L107" s="1034"/>
      <c r="M107" s="1035"/>
      <c r="N107" s="289"/>
      <c r="O107" s="509"/>
    </row>
    <row r="108" spans="2:20" ht="16.5" customHeight="1" thickBot="1" x14ac:dyDescent="0.45">
      <c r="D108" s="118"/>
      <c r="E108" s="474" t="s">
        <v>494</v>
      </c>
      <c r="F108" s="475"/>
      <c r="G108" s="495"/>
      <c r="H108" s="496"/>
      <c r="K108" s="507" t="s">
        <v>63</v>
      </c>
      <c r="L108" s="300" t="s">
        <v>422</v>
      </c>
      <c r="M108" s="299">
        <f>L38*(L40*(M55*M63*M104)+L41)</f>
        <v>1.3000000000000003</v>
      </c>
      <c r="N108" s="335" t="s">
        <v>366</v>
      </c>
      <c r="O108" s="509" t="str">
        <f>IF(L41 &lt;= L40*(M55*H67*M67*K80),"O.K.","CHECK")</f>
        <v>CHECK</v>
      </c>
    </row>
    <row r="109" spans="2:20" ht="15.75" customHeight="1" x14ac:dyDescent="0.3">
      <c r="F109" s="5"/>
      <c r="H109" s="271"/>
      <c r="R109" s="195"/>
    </row>
    <row r="110" spans="2:20" ht="18.75" customHeight="1" x14ac:dyDescent="0.3"/>
    <row r="111" spans="2:20" ht="15.75" customHeight="1" x14ac:dyDescent="0.3"/>
    <row r="112" spans="2:20" ht="15.75" customHeight="1" x14ac:dyDescent="0.3">
      <c r="B112" s="675" t="s">
        <v>495</v>
      </c>
      <c r="C112" s="676"/>
      <c r="D112" s="676"/>
      <c r="E112" s="676"/>
      <c r="F112" s="676"/>
      <c r="G112" s="676"/>
      <c r="H112" s="301"/>
      <c r="I112" s="28"/>
      <c r="J112" s="28"/>
      <c r="K112" s="28"/>
      <c r="R112" s="28"/>
    </row>
    <row r="113" spans="1:22" ht="15.75" customHeight="1" x14ac:dyDescent="0.35">
      <c r="A113" s="28"/>
      <c r="B113" s="675" t="s">
        <v>68</v>
      </c>
      <c r="C113" s="676"/>
      <c r="D113" s="676"/>
      <c r="E113" s="676"/>
      <c r="F113" s="676"/>
      <c r="G113" s="676"/>
      <c r="H113" s="49"/>
    </row>
    <row r="114" spans="1:22" ht="15.75" customHeight="1" thickBot="1" x14ac:dyDescent="0.35">
      <c r="A114" s="28"/>
      <c r="B114" s="32"/>
      <c r="C114" s="28"/>
      <c r="D114" s="28"/>
      <c r="E114" s="28"/>
      <c r="F114" s="28"/>
      <c r="G114" s="28"/>
    </row>
    <row r="115" spans="1:22" ht="19.5" customHeight="1" thickBot="1" x14ac:dyDescent="0.4">
      <c r="A115" s="28"/>
      <c r="B115" s="1118" t="s">
        <v>496</v>
      </c>
      <c r="C115" s="1109"/>
      <c r="D115" s="1109"/>
      <c r="E115" s="1109"/>
      <c r="F115" s="1110"/>
      <c r="I115" s="27"/>
    </row>
    <row r="116" spans="1:22" ht="15.75" customHeight="1" thickBot="1" x14ac:dyDescent="0.4">
      <c r="A116" s="28"/>
      <c r="H116" s="27"/>
      <c r="M116" s="30"/>
    </row>
    <row r="117" spans="1:22" ht="15.75" customHeight="1" thickBot="1" x14ac:dyDescent="0.4">
      <c r="A117" s="28"/>
      <c r="B117" s="1122" t="s">
        <v>415</v>
      </c>
      <c r="C117" s="1098"/>
      <c r="D117" s="1098"/>
      <c r="E117" s="1098"/>
      <c r="F117" s="28"/>
      <c r="G117" s="28"/>
      <c r="K117" s="488" t="s">
        <v>416</v>
      </c>
      <c r="M117" s="30"/>
      <c r="N117" s="111" t="s">
        <v>497</v>
      </c>
      <c r="O117" s="369"/>
      <c r="P117" s="489"/>
    </row>
    <row r="118" spans="1:22" ht="15.75" customHeight="1" thickBot="1" x14ac:dyDescent="0.4">
      <c r="B118" s="1121" t="s">
        <v>498</v>
      </c>
      <c r="C118" s="1098"/>
      <c r="D118" s="1098"/>
      <c r="E118" s="1098"/>
      <c r="K118" s="487" t="s">
        <v>419</v>
      </c>
      <c r="M118" s="30"/>
      <c r="N118" s="286"/>
      <c r="O118" s="286"/>
      <c r="P118" s="286"/>
    </row>
    <row r="119" spans="1:22" ht="15.75" customHeight="1" thickBot="1" x14ac:dyDescent="0.4">
      <c r="B119" s="104"/>
      <c r="C119" s="144"/>
      <c r="D119" s="144"/>
      <c r="E119" s="144"/>
      <c r="J119" s="221"/>
      <c r="K119" s="293"/>
      <c r="M119" s="30"/>
      <c r="N119" s="286"/>
      <c r="O119" s="286"/>
      <c r="P119" s="286"/>
    </row>
    <row r="120" spans="1:22" ht="17.25" customHeight="1" thickBot="1" x14ac:dyDescent="0.4">
      <c r="B120" s="104" t="s">
        <v>499</v>
      </c>
      <c r="C120" s="104"/>
      <c r="D120" s="104"/>
      <c r="E120" s="104"/>
      <c r="J120" s="283" t="s">
        <v>3353</v>
      </c>
      <c r="K120" s="291" t="s">
        <v>422</v>
      </c>
      <c r="L120" s="292">
        <f>IF(K117="SLS",0.75,
IF(K117="ULS",
IF(K118="Low",0.8,
IF(K118="Normal",1,
IF(K118="High",1.15,
IF(K118="Post-Disaster",1.25,"")))),
""))</f>
        <v>1</v>
      </c>
      <c r="N120" s="111" t="s">
        <v>501</v>
      </c>
      <c r="O120" s="111"/>
      <c r="P120" s="286"/>
    </row>
    <row r="121" spans="1:22" ht="15.65" customHeight="1" x14ac:dyDescent="0.3">
      <c r="M121" s="127"/>
      <c r="N121" s="286"/>
      <c r="O121" s="286"/>
      <c r="P121" s="286"/>
    </row>
    <row r="122" spans="1:22" ht="14.5" customHeight="1" x14ac:dyDescent="0.3">
      <c r="B122" s="42"/>
      <c r="C122" s="42"/>
      <c r="D122" s="42"/>
      <c r="E122" s="42"/>
      <c r="M122" s="127"/>
      <c r="N122" s="286"/>
      <c r="O122" s="286"/>
      <c r="P122" s="286"/>
    </row>
    <row r="123" spans="1:22" ht="22.5" customHeight="1" x14ac:dyDescent="0.4">
      <c r="B123" s="375" t="s">
        <v>502</v>
      </c>
      <c r="C123" s="374"/>
      <c r="D123" s="374"/>
      <c r="E123" s="374"/>
      <c r="J123" s="466" t="s">
        <v>503</v>
      </c>
      <c r="K123" s="987"/>
      <c r="L123" s="467"/>
      <c r="M123" s="290"/>
      <c r="N123" s="4"/>
      <c r="O123" s="286"/>
      <c r="P123" s="286"/>
    </row>
    <row r="124" spans="1:22" ht="22.5" customHeight="1" x14ac:dyDescent="0.35">
      <c r="M124" s="123"/>
      <c r="N124" s="286"/>
      <c r="O124" s="286"/>
      <c r="P124" s="286"/>
    </row>
    <row r="125" spans="1:22" ht="15.75" customHeight="1" thickBot="1" x14ac:dyDescent="0.4">
      <c r="M125" s="123"/>
      <c r="N125" s="286"/>
      <c r="O125" s="286"/>
      <c r="P125" s="286"/>
      <c r="V125" s="33"/>
    </row>
    <row r="126" spans="1:22" ht="15.75" customHeight="1" thickBot="1" x14ac:dyDescent="0.4">
      <c r="B126" s="104" t="s">
        <v>504</v>
      </c>
      <c r="C126" s="104"/>
      <c r="D126" s="104"/>
      <c r="J126" s="284" t="s">
        <v>505</v>
      </c>
      <c r="K126" s="291" t="s">
        <v>422</v>
      </c>
      <c r="L126" s="295">
        <v>1.2928999999999999</v>
      </c>
      <c r="M126" s="294" t="s">
        <v>506</v>
      </c>
      <c r="N126" s="286"/>
      <c r="O126" s="286"/>
      <c r="P126" s="286"/>
      <c r="T126" s="38"/>
      <c r="V126" s="33"/>
    </row>
    <row r="127" spans="1:22" ht="15.75" customHeight="1" x14ac:dyDescent="0.35">
      <c r="B127" s="104"/>
      <c r="C127" s="104"/>
      <c r="D127" s="104"/>
      <c r="N127" s="286"/>
      <c r="O127" s="286"/>
      <c r="P127" s="286"/>
      <c r="V127" s="33"/>
    </row>
    <row r="128" spans="1:22" ht="15.75" customHeight="1" x14ac:dyDescent="0.35">
      <c r="B128" s="104" t="s">
        <v>507</v>
      </c>
      <c r="C128" s="104"/>
      <c r="D128" s="104"/>
      <c r="F128" s="161"/>
      <c r="P128" s="497"/>
      <c r="Q128" s="4"/>
      <c r="V128" s="33"/>
    </row>
    <row r="129" spans="2:50" ht="15.75" customHeight="1" x14ac:dyDescent="0.35">
      <c r="B129" s="104"/>
      <c r="C129" s="104"/>
      <c r="D129" s="104"/>
      <c r="K129" s="991" t="s">
        <v>513</v>
      </c>
      <c r="L129" s="341"/>
      <c r="N129" s="67"/>
    </row>
    <row r="130" spans="2:50" ht="15.75" customHeight="1" x14ac:dyDescent="0.3">
      <c r="K130" s="968" t="s">
        <v>514</v>
      </c>
      <c r="L130" s="1025"/>
      <c r="N130" s="40"/>
    </row>
    <row r="131" spans="2:50" ht="15.75" customHeight="1" thickBot="1" x14ac:dyDescent="0.4">
      <c r="B131" s="104"/>
      <c r="C131" s="104"/>
      <c r="D131" s="104"/>
      <c r="N131" s="2"/>
      <c r="O131" s="97"/>
      <c r="P131" s="988"/>
      <c r="R131" s="38"/>
    </row>
    <row r="132" spans="2:50" ht="15.75" customHeight="1" thickBot="1" x14ac:dyDescent="0.4">
      <c r="B132" s="104" t="s">
        <v>512</v>
      </c>
      <c r="C132" s="104"/>
      <c r="D132" s="104"/>
      <c r="H132" s="477" t="s">
        <v>508</v>
      </c>
      <c r="J132" s="284" t="s">
        <v>516</v>
      </c>
      <c r="K132" s="291" t="s">
        <v>422</v>
      </c>
      <c r="L132" s="1040">
        <f>IF( H132="(1/10 years)",V17,
IF(H132="(1/50 years)",W17))</f>
        <v>0.35</v>
      </c>
      <c r="M132" s="294" t="s">
        <v>366</v>
      </c>
      <c r="N132" s="2"/>
      <c r="O132" s="97"/>
      <c r="P132" s="184"/>
      <c r="R132" s="38"/>
    </row>
    <row r="133" spans="2:50" ht="15.75" customHeight="1" x14ac:dyDescent="0.35">
      <c r="B133" s="104" t="s">
        <v>515</v>
      </c>
      <c r="C133" s="104"/>
      <c r="D133" s="104"/>
      <c r="J133" s="58"/>
      <c r="K133" s="58"/>
      <c r="L133" s="58"/>
      <c r="N133" s="2"/>
      <c r="P133" s="85"/>
      <c r="R133" s="53"/>
    </row>
    <row r="134" spans="2:50" ht="15.65" customHeight="1" thickBot="1" x14ac:dyDescent="0.4">
      <c r="J134" s="58"/>
      <c r="K134" s="58"/>
      <c r="L134" s="58"/>
      <c r="N134" s="127"/>
      <c r="O134" s="40"/>
      <c r="P134" s="989"/>
      <c r="Q134" s="184"/>
      <c r="R134" s="38"/>
      <c r="AI134" s="3" t="s">
        <v>517</v>
      </c>
      <c r="AO134" s="3" t="s">
        <v>518</v>
      </c>
      <c r="AR134" s="657" t="s">
        <v>517</v>
      </c>
      <c r="AS134" s="657"/>
      <c r="AT134" s="657"/>
      <c r="AU134" s="657"/>
      <c r="AV134" s="657"/>
      <c r="AW134" s="657"/>
      <c r="AX134" s="657" t="s">
        <v>518</v>
      </c>
    </row>
    <row r="135" spans="2:50" ht="15.75" customHeight="1" thickBot="1" x14ac:dyDescent="0.4">
      <c r="B135" s="476" t="s">
        <v>519</v>
      </c>
      <c r="C135" s="105"/>
      <c r="D135" s="105"/>
      <c r="E135" s="105"/>
      <c r="J135" s="283" t="s">
        <v>509</v>
      </c>
      <c r="K135" s="291" t="s">
        <v>422</v>
      </c>
      <c r="L135" s="295">
        <f>IFERROR(LOOKUP(L132, 'Table C-1 (NBCC 2020)'!A:A, 'Table C-1 (NBCC 2020)'!B:B), "Not Found")</f>
        <v>25</v>
      </c>
      <c r="M135" s="335" t="s">
        <v>510</v>
      </c>
      <c r="N135" s="111" t="s">
        <v>511</v>
      </c>
      <c r="O135" s="497"/>
      <c r="P135" s="38"/>
      <c r="Q135" s="184"/>
      <c r="R135" s="38"/>
      <c r="AI135" s="760" t="s">
        <v>520</v>
      </c>
      <c r="AJ135" s="760" t="s">
        <v>422</v>
      </c>
      <c r="AK135" s="760" t="s">
        <v>521</v>
      </c>
      <c r="AL135" s="761">
        <f>(D138/10)^0.2</f>
        <v>0.67511937836096991</v>
      </c>
      <c r="AM135" s="762" t="s">
        <v>522</v>
      </c>
      <c r="AN135" s="760">
        <v>0.9</v>
      </c>
      <c r="AO135" s="761">
        <f>MAX(AL135,AN135)</f>
        <v>0.9</v>
      </c>
      <c r="AR135" s="657" t="s">
        <v>520</v>
      </c>
      <c r="AS135" s="657" t="s">
        <v>422</v>
      </c>
      <c r="AT135" s="657" t="s">
        <v>521</v>
      </c>
      <c r="AU135" s="658">
        <f>(D138/10)^0.2</f>
        <v>0.67511937836096991</v>
      </c>
      <c r="AV135" s="659" t="s">
        <v>522</v>
      </c>
      <c r="AW135" s="657">
        <v>0.9</v>
      </c>
      <c r="AX135" s="658">
        <f>MAX(AU135,AW135)</f>
        <v>0.9</v>
      </c>
    </row>
    <row r="136" spans="2:50" ht="15.75" customHeight="1" x14ac:dyDescent="0.35">
      <c r="B136" s="70" t="s">
        <v>3356</v>
      </c>
      <c r="C136" s="49"/>
      <c r="D136" s="49"/>
      <c r="E136" s="49"/>
      <c r="N136" s="2"/>
      <c r="R136" s="59"/>
      <c r="AI136" s="760" t="s">
        <v>523</v>
      </c>
      <c r="AJ136" s="760" t="s">
        <v>422</v>
      </c>
      <c r="AK136" s="760" t="s">
        <v>524</v>
      </c>
      <c r="AL136" s="761">
        <f>(0.7*(D138/12)^0.3)</f>
        <v>0.36763303297240052</v>
      </c>
      <c r="AM136" s="762" t="s">
        <v>522</v>
      </c>
      <c r="AN136" s="760">
        <v>0.7</v>
      </c>
      <c r="AO136" s="761">
        <f>MAX(AL136,AN136)</f>
        <v>0.7</v>
      </c>
      <c r="AR136" s="657" t="s">
        <v>523</v>
      </c>
      <c r="AS136" s="657" t="s">
        <v>422</v>
      </c>
      <c r="AT136" s="657" t="s">
        <v>524</v>
      </c>
      <c r="AU136" s="658">
        <f>(0.7*(D138/12)^0.3)</f>
        <v>0.36763303297240052</v>
      </c>
      <c r="AV136" s="659" t="s">
        <v>522</v>
      </c>
      <c r="AW136" s="657">
        <v>0.7</v>
      </c>
      <c r="AX136" s="658">
        <f>MAX(AU136,AW136)</f>
        <v>0.7</v>
      </c>
    </row>
    <row r="137" spans="2:50" ht="15.75" customHeight="1" x14ac:dyDescent="0.35">
      <c r="B137" s="70"/>
      <c r="N137" s="2"/>
      <c r="R137" s="59"/>
    </row>
    <row r="138" spans="2:50" ht="15.75" customHeight="1" x14ac:dyDescent="0.35">
      <c r="B138" s="52"/>
      <c r="C138" s="1042" t="s">
        <v>399</v>
      </c>
      <c r="D138" s="306">
        <f>L11</f>
        <v>1.4024999999999999</v>
      </c>
      <c r="E138" s="123" t="s">
        <v>392</v>
      </c>
      <c r="N138" s="2"/>
      <c r="R138" s="59"/>
      <c r="T138" s="39"/>
      <c r="U138" s="39"/>
    </row>
    <row r="139" spans="2:50" ht="15.75" customHeight="1" x14ac:dyDescent="0.45">
      <c r="B139" s="52"/>
      <c r="N139" s="2"/>
      <c r="R139" s="59"/>
      <c r="T139" s="39"/>
      <c r="U139" s="39"/>
      <c r="AS139" s="324"/>
      <c r="AT139" s="325"/>
      <c r="AU139" s="326" t="s">
        <v>526</v>
      </c>
      <c r="AV139" s="326"/>
      <c r="AW139" s="325"/>
      <c r="AX139" s="327"/>
    </row>
    <row r="140" spans="2:50" ht="15.75" customHeight="1" thickBot="1" x14ac:dyDescent="0.5">
      <c r="B140" s="52"/>
      <c r="N140" s="2"/>
      <c r="R140" s="59"/>
      <c r="T140" s="39"/>
      <c r="U140" s="39"/>
      <c r="AS140" s="324"/>
      <c r="AT140" s="326" t="s">
        <v>527</v>
      </c>
      <c r="AU140" s="326"/>
      <c r="AV140" s="326"/>
      <c r="AW140" s="325"/>
      <c r="AX140" s="327"/>
    </row>
    <row r="141" spans="2:50" ht="15.75" customHeight="1" thickBot="1" x14ac:dyDescent="0.4">
      <c r="C141" s="2" t="s">
        <v>528</v>
      </c>
      <c r="H141" s="1119" t="b">
        <f>(AND(D138&lt;=20,D138&gt;F11))</f>
        <v>0</v>
      </c>
      <c r="I141" s="1120"/>
      <c r="N141" s="109"/>
      <c r="O141" s="3"/>
      <c r="P141" s="8"/>
      <c r="Q141" s="8"/>
      <c r="R141" s="8"/>
      <c r="T141" s="39"/>
      <c r="U141" s="39"/>
      <c r="AS141" s="449" t="s">
        <v>529</v>
      </c>
      <c r="AT141" s="449" t="s">
        <v>530</v>
      </c>
      <c r="AU141" s="449" t="s">
        <v>531</v>
      </c>
      <c r="AV141" s="449" t="s">
        <v>532</v>
      </c>
      <c r="AW141" s="449" t="s">
        <v>533</v>
      </c>
      <c r="AX141" s="449" t="s">
        <v>534</v>
      </c>
    </row>
    <row r="142" spans="2:50" ht="15.75" customHeight="1" x14ac:dyDescent="0.3">
      <c r="C142" s="2" t="s">
        <v>3357</v>
      </c>
      <c r="H142" s="51"/>
      <c r="N142" s="109"/>
      <c r="O142" s="3"/>
      <c r="Q142" s="8"/>
      <c r="R142" s="8"/>
      <c r="T142" s="39"/>
      <c r="U142" s="39"/>
      <c r="AS142" s="450">
        <v>1</v>
      </c>
      <c r="AT142" s="450">
        <v>0.75</v>
      </c>
      <c r="AU142" s="450">
        <v>1</v>
      </c>
      <c r="AV142" s="450">
        <v>1.05</v>
      </c>
      <c r="AW142" s="450">
        <v>1.05</v>
      </c>
      <c r="AX142" s="450">
        <v>-0.85</v>
      </c>
    </row>
    <row r="143" spans="2:50" ht="21" customHeight="1" thickBot="1" x14ac:dyDescent="0.35">
      <c r="C143" s="4"/>
      <c r="N143" s="109"/>
      <c r="O143" s="3"/>
      <c r="Q143" s="8"/>
      <c r="R143" s="8"/>
      <c r="T143" s="39"/>
      <c r="U143" s="39"/>
      <c r="AJ143" s="2"/>
      <c r="AK143" s="2"/>
      <c r="AL143" s="2"/>
      <c r="AM143" s="2"/>
      <c r="AN143" s="2"/>
      <c r="AO143" s="2"/>
      <c r="AS143" s="450" t="s">
        <v>535</v>
      </c>
      <c r="AT143" s="450">
        <v>1.1499999999999999</v>
      </c>
      <c r="AU143" s="450">
        <v>1.5</v>
      </c>
      <c r="AV143" s="450">
        <v>1.3</v>
      </c>
      <c r="AW143" s="450">
        <v>1.3</v>
      </c>
      <c r="AX143" s="450">
        <v>-0.9</v>
      </c>
    </row>
    <row r="144" spans="2:50" ht="17.25" customHeight="1" thickBot="1" x14ac:dyDescent="0.4">
      <c r="C144" s="2" t="s">
        <v>536</v>
      </c>
      <c r="H144" s="1119" t="b">
        <f>(AND(D138&gt;20,D138&lt;F11))</f>
        <v>0</v>
      </c>
      <c r="I144" s="1120"/>
      <c r="O144" s="3"/>
      <c r="R144" s="8"/>
      <c r="T144" s="39"/>
      <c r="U144" s="39"/>
      <c r="AJ144" s="2"/>
      <c r="AK144" s="2"/>
      <c r="AL144" s="2"/>
      <c r="AM144" s="2"/>
      <c r="AN144" s="2"/>
      <c r="AO144" s="2"/>
      <c r="AS144" s="450">
        <v>2</v>
      </c>
      <c r="AT144" s="450">
        <v>-1.3</v>
      </c>
      <c r="AU144" s="450">
        <v>-1.3</v>
      </c>
      <c r="AV144" s="450">
        <v>0.4</v>
      </c>
      <c r="AW144" s="450">
        <v>1.05</v>
      </c>
      <c r="AX144" s="450">
        <v>-1.3</v>
      </c>
    </row>
    <row r="145" spans="2:50" ht="15.75" customHeight="1" x14ac:dyDescent="0.3">
      <c r="D145" s="2" t="s">
        <v>537</v>
      </c>
      <c r="O145" s="3"/>
      <c r="T145" s="39"/>
      <c r="U145" s="39"/>
      <c r="AJ145" s="2"/>
      <c r="AK145" s="2"/>
      <c r="AL145" s="2"/>
      <c r="AM145" s="2"/>
      <c r="AN145" s="2"/>
      <c r="AO145" s="2"/>
      <c r="AS145" s="450" t="s">
        <v>538</v>
      </c>
      <c r="AT145" s="450">
        <v>-2</v>
      </c>
      <c r="AU145" s="450">
        <v>-2</v>
      </c>
      <c r="AV145" s="450">
        <v>0.5</v>
      </c>
      <c r="AW145" s="450">
        <v>1.3</v>
      </c>
      <c r="AX145" s="450">
        <v>-2</v>
      </c>
    </row>
    <row r="146" spans="2:50" ht="15.75" customHeight="1" x14ac:dyDescent="0.35">
      <c r="H146" s="1142" t="s">
        <v>539</v>
      </c>
      <c r="I146" s="1142"/>
      <c r="J146" s="1142"/>
      <c r="K146" s="1047" t="e">
        <f>#REF!</f>
        <v>#REF!</v>
      </c>
      <c r="L146" s="1048" t="s">
        <v>540</v>
      </c>
      <c r="M146" s="1046" t="s">
        <v>541</v>
      </c>
      <c r="N146" s="1049">
        <f>L76</f>
        <v>0</v>
      </c>
      <c r="O146" s="3"/>
      <c r="S146" s="39"/>
      <c r="T146" s="39"/>
      <c r="U146" s="39"/>
      <c r="AJ146" s="2"/>
      <c r="AK146" s="2"/>
      <c r="AL146" s="2"/>
      <c r="AM146" s="2"/>
      <c r="AN146" s="2"/>
      <c r="AO146" s="2"/>
      <c r="AS146" s="450">
        <v>3</v>
      </c>
      <c r="AT146" s="450">
        <v>-0.7</v>
      </c>
      <c r="AU146" s="450">
        <v>-0.9</v>
      </c>
      <c r="AV146" s="450">
        <v>-0.8</v>
      </c>
      <c r="AW146" s="450">
        <v>-0.7</v>
      </c>
      <c r="AX146" s="450">
        <v>-0.7</v>
      </c>
    </row>
    <row r="147" spans="2:50" ht="15.75" customHeight="1" thickBot="1" x14ac:dyDescent="0.35">
      <c r="D147" s="99"/>
      <c r="E147" s="99"/>
      <c r="O147" s="3"/>
      <c r="S147" s="39"/>
      <c r="T147" s="39"/>
      <c r="U147" s="39"/>
      <c r="AJ147" s="2"/>
      <c r="AK147" s="2"/>
      <c r="AL147" s="2"/>
      <c r="AM147" s="2"/>
      <c r="AN147" s="2"/>
      <c r="AO147" s="2"/>
      <c r="AS147" s="450" t="s">
        <v>542</v>
      </c>
      <c r="AT147" s="450">
        <v>-1</v>
      </c>
      <c r="AU147" s="450">
        <v>-1.3</v>
      </c>
      <c r="AV147" s="450">
        <v>-1</v>
      </c>
      <c r="AW147" s="450">
        <v>-1</v>
      </c>
      <c r="AX147" s="450">
        <v>-1</v>
      </c>
    </row>
    <row r="148" spans="2:50" ht="15.65" customHeight="1" thickBot="1" x14ac:dyDescent="0.4">
      <c r="C148" s="2" t="s">
        <v>3358</v>
      </c>
      <c r="D148" s="42"/>
      <c r="E148" s="42"/>
      <c r="F148" s="100"/>
      <c r="G148" s="42"/>
      <c r="H148" s="1041" t="b">
        <v>1</v>
      </c>
      <c r="J148" s="1043" t="s">
        <v>3359</v>
      </c>
      <c r="K148" s="1044">
        <f>IF(H141=TRUE, 1, IF(K84=TRUE, 1, IF(H148=TRUE, D138)))</f>
        <v>1.4024999999999999</v>
      </c>
      <c r="L148" s="1045" t="s">
        <v>392</v>
      </c>
      <c r="O148" s="3"/>
      <c r="S148"/>
      <c r="T148" s="39"/>
      <c r="U148" s="39"/>
      <c r="AJ148" s="2"/>
      <c r="AK148" s="2"/>
      <c r="AL148" s="2"/>
      <c r="AM148" s="2"/>
      <c r="AN148" s="2"/>
      <c r="AO148" s="2"/>
      <c r="AS148" s="450">
        <v>4</v>
      </c>
      <c r="AT148" s="450">
        <v>-0.55000000000000004</v>
      </c>
      <c r="AU148" s="450">
        <v>-0.8</v>
      </c>
      <c r="AV148" s="450">
        <v>-0.7</v>
      </c>
      <c r="AW148" s="450">
        <v>-0.7</v>
      </c>
      <c r="AX148" s="450">
        <v>-0.85</v>
      </c>
    </row>
    <row r="149" spans="2:50" ht="15.75" customHeight="1" x14ac:dyDescent="0.3">
      <c r="D149" s="42"/>
      <c r="E149" s="42"/>
      <c r="F149" s="100"/>
      <c r="G149" s="42"/>
      <c r="H149" s="45"/>
      <c r="O149" s="3"/>
      <c r="T149" s="39"/>
      <c r="U149" s="39"/>
      <c r="AJ149" s="2"/>
      <c r="AK149" s="2"/>
      <c r="AL149" s="2"/>
      <c r="AM149" s="2"/>
      <c r="AN149" s="2"/>
      <c r="AO149" s="2"/>
      <c r="AS149" s="450" t="s">
        <v>543</v>
      </c>
      <c r="AT149" s="450">
        <v>-0.8</v>
      </c>
      <c r="AU149" s="450">
        <v>-1.2</v>
      </c>
      <c r="AV149" s="450">
        <v>-0.9</v>
      </c>
      <c r="AW149" s="450">
        <v>-0.9</v>
      </c>
      <c r="AX149" s="450">
        <v>-0.9</v>
      </c>
    </row>
    <row r="150" spans="2:50" ht="15.75" customHeight="1" x14ac:dyDescent="0.3">
      <c r="D150" s="42"/>
      <c r="E150" s="42"/>
      <c r="F150" s="100"/>
      <c r="G150" s="42"/>
      <c r="H150" s="45"/>
      <c r="O150" s="3"/>
      <c r="T150" s="39"/>
      <c r="U150" s="39"/>
      <c r="AJ150" s="2"/>
      <c r="AK150" s="2"/>
      <c r="AL150" s="2"/>
      <c r="AM150" s="2"/>
      <c r="AN150" s="2"/>
      <c r="AO150" s="2"/>
      <c r="AS150" s="450">
        <v>5</v>
      </c>
      <c r="AT150" s="450"/>
      <c r="AU150" s="450"/>
      <c r="AV150" s="450"/>
      <c r="AW150" s="450"/>
      <c r="AX150" s="450">
        <v>0.75</v>
      </c>
    </row>
    <row r="151" spans="2:50" ht="15.75" customHeight="1" x14ac:dyDescent="0.3">
      <c r="B151" s="538" t="s">
        <v>544</v>
      </c>
      <c r="C151" s="301"/>
      <c r="D151" s="301"/>
      <c r="E151" s="301"/>
      <c r="O151" s="3"/>
      <c r="S151" s="39"/>
      <c r="T151" s="39"/>
      <c r="U151" s="39"/>
      <c r="AJ151" s="2"/>
      <c r="AK151" s="2"/>
      <c r="AL151" s="2"/>
      <c r="AM151" s="2"/>
      <c r="AN151" s="2"/>
      <c r="AS151" s="450" t="s">
        <v>545</v>
      </c>
      <c r="AT151" s="450"/>
      <c r="AU151" s="450"/>
      <c r="AV151" s="450"/>
      <c r="AW151" s="450"/>
      <c r="AX151" s="450">
        <v>1.1499999999999999</v>
      </c>
    </row>
    <row r="152" spans="2:50" ht="15.75" customHeight="1" x14ac:dyDescent="0.35">
      <c r="B152" s="70" t="s">
        <v>546</v>
      </c>
      <c r="C152" s="49"/>
      <c r="D152" s="49"/>
      <c r="E152" s="49"/>
      <c r="O152" s="3"/>
      <c r="S152" s="39"/>
      <c r="T152" s="39"/>
      <c r="U152" s="39"/>
      <c r="AJ152" s="2"/>
      <c r="AK152" s="2"/>
      <c r="AL152" s="2"/>
      <c r="AM152" s="2"/>
      <c r="AN152" s="2"/>
      <c r="AS152" s="450">
        <v>6</v>
      </c>
      <c r="AT152" s="450"/>
      <c r="AU152" s="450"/>
      <c r="AV152" s="450"/>
      <c r="AW152" s="450"/>
      <c r="AX152" s="450">
        <v>-0.55000000000000004</v>
      </c>
    </row>
    <row r="153" spans="2:50" ht="15.75" customHeight="1" thickBot="1" x14ac:dyDescent="0.35">
      <c r="B153" s="52"/>
      <c r="O153" s="3"/>
      <c r="S153" s="39"/>
      <c r="T153" s="39"/>
      <c r="U153" s="39"/>
      <c r="AJ153" s="2"/>
      <c r="AK153" s="2"/>
      <c r="AL153" s="2"/>
      <c r="AM153" s="2"/>
      <c r="AN153" s="2"/>
      <c r="AS153" s="450" t="s">
        <v>547</v>
      </c>
      <c r="AT153" s="450"/>
      <c r="AU153" s="450"/>
      <c r="AV153" s="450"/>
      <c r="AW153" s="450"/>
      <c r="AX153" s="450">
        <v>-0.8</v>
      </c>
    </row>
    <row r="154" spans="2:50" ht="15.75" customHeight="1" thickBot="1" x14ac:dyDescent="0.5">
      <c r="C154" s="483" t="s">
        <v>548</v>
      </c>
      <c r="D154" s="484"/>
      <c r="E154" s="485"/>
      <c r="H154" s="480" t="s">
        <v>520</v>
      </c>
      <c r="I154" s="478"/>
      <c r="O154" s="3"/>
      <c r="Q154" s="48"/>
      <c r="S154" s="39"/>
      <c r="T154" s="39"/>
      <c r="U154" s="39"/>
      <c r="AJ154" s="2"/>
      <c r="AK154" s="2"/>
      <c r="AL154" s="2"/>
      <c r="AM154" s="2"/>
      <c r="AN154" s="2"/>
      <c r="AS154" s="451"/>
      <c r="AT154" s="449"/>
      <c r="AU154" s="449"/>
      <c r="AV154" s="449"/>
      <c r="AW154" s="449"/>
      <c r="AX154" s="449"/>
    </row>
    <row r="155" spans="2:50" ht="15.75" customHeight="1" x14ac:dyDescent="0.35">
      <c r="C155" s="95"/>
      <c r="O155" s="3"/>
      <c r="Q155" s="48"/>
      <c r="S155" s="39"/>
      <c r="T155" s="39"/>
      <c r="U155" s="39"/>
      <c r="AJ155" s="2"/>
      <c r="AK155" s="2"/>
      <c r="AL155" s="2"/>
      <c r="AM155" s="2"/>
      <c r="AN155" s="2"/>
      <c r="AS155" s="452" t="s">
        <v>549</v>
      </c>
      <c r="AT155" s="1099" t="s">
        <v>381</v>
      </c>
      <c r="AU155" s="1100"/>
      <c r="AV155" s="1100"/>
      <c r="AW155" s="1101"/>
      <c r="AX155" s="453" t="s">
        <v>550</v>
      </c>
    </row>
    <row r="156" spans="2:50" ht="15.75" customHeight="1" thickBot="1" x14ac:dyDescent="0.4">
      <c r="B156" s="52"/>
      <c r="C156" s="529" t="s">
        <v>466</v>
      </c>
      <c r="D156" s="530" t="s">
        <v>551</v>
      </c>
      <c r="E156" s="531" t="s">
        <v>552</v>
      </c>
      <c r="F156" s="356" t="s">
        <v>522</v>
      </c>
      <c r="G156" s="532">
        <v>0.9</v>
      </c>
      <c r="O156" s="3"/>
      <c r="Q156" s="48"/>
      <c r="S156" s="39"/>
      <c r="T156" s="39"/>
      <c r="U156" s="39"/>
      <c r="AJ156" s="2"/>
      <c r="AK156" s="2"/>
      <c r="AL156" s="2"/>
      <c r="AM156" s="2"/>
      <c r="AN156" s="2"/>
      <c r="AS156" s="454" t="s">
        <v>553</v>
      </c>
      <c r="AT156" s="454" t="s">
        <v>554</v>
      </c>
      <c r="AU156" s="454" t="s">
        <v>555</v>
      </c>
      <c r="AV156" s="454" t="s">
        <v>556</v>
      </c>
      <c r="AW156" s="454" t="s">
        <v>557</v>
      </c>
      <c r="AX156" s="454" t="s">
        <v>558</v>
      </c>
    </row>
    <row r="157" spans="2:50" ht="15.65" customHeight="1" thickBot="1" x14ac:dyDescent="0.4">
      <c r="B157" s="52"/>
      <c r="C157" s="529"/>
      <c r="D157" s="530" t="s">
        <v>551</v>
      </c>
      <c r="E157" s="109">
        <f>(D138/10)^0.2</f>
        <v>0.67511937836096991</v>
      </c>
      <c r="F157" s="30" t="s">
        <v>522</v>
      </c>
      <c r="G157" s="4">
        <f>G156</f>
        <v>0.9</v>
      </c>
      <c r="H157" s="481" t="b">
        <f>IF(E157 &gt;= G157, TRUE)</f>
        <v>0</v>
      </c>
      <c r="I157" s="479"/>
      <c r="J157" s="311" t="s">
        <v>518</v>
      </c>
      <c r="K157" s="473" t="s">
        <v>422</v>
      </c>
      <c r="L157" s="486">
        <f>VLOOKUP(H154,AI135:AO136,7,FALSE)</f>
        <v>0.9</v>
      </c>
      <c r="O157" s="3"/>
      <c r="Q157" s="48"/>
    </row>
    <row r="158" spans="2:50" ht="15.65" customHeight="1" x14ac:dyDescent="0.35">
      <c r="B158" s="52"/>
      <c r="C158" s="529"/>
      <c r="E158" s="30"/>
      <c r="O158" s="3"/>
    </row>
    <row r="159" spans="2:50" ht="21" customHeight="1" x14ac:dyDescent="0.35">
      <c r="B159" s="52"/>
      <c r="C159" s="529"/>
      <c r="E159" s="30"/>
      <c r="I159" s="63"/>
      <c r="O159" s="3"/>
      <c r="R159" s="48"/>
    </row>
    <row r="160" spans="2:50" ht="15.65" customHeight="1" thickBot="1" x14ac:dyDescent="0.4">
      <c r="B160" s="52"/>
      <c r="C160" s="529" t="s">
        <v>559</v>
      </c>
      <c r="E160" s="30" t="s">
        <v>560</v>
      </c>
      <c r="F160" s="3" t="s">
        <v>561</v>
      </c>
      <c r="G160" s="4">
        <v>0.7</v>
      </c>
      <c r="I160" s="520"/>
      <c r="O160" s="3"/>
      <c r="Q160" s="48"/>
      <c r="AO160" s="2"/>
    </row>
    <row r="161" spans="1:54" ht="15.65" customHeight="1" thickBot="1" x14ac:dyDescent="0.4">
      <c r="B161" s="52"/>
      <c r="C161" s="529"/>
      <c r="E161" s="30">
        <f>(0.7*(D138/12)^0.3)</f>
        <v>0.36763303297240052</v>
      </c>
      <c r="F161" s="30" t="s">
        <v>522</v>
      </c>
      <c r="G161" s="4">
        <v>0.7</v>
      </c>
      <c r="H161" s="482" t="b">
        <f>IF(E161 &gt;= G161,TRUE)</f>
        <v>0</v>
      </c>
      <c r="I161" s="521"/>
      <c r="O161" s="3"/>
      <c r="Q161" s="48"/>
      <c r="AO161" s="2"/>
    </row>
    <row r="162" spans="1:54" ht="15.65" customHeight="1" x14ac:dyDescent="0.35">
      <c r="B162" s="52"/>
      <c r="C162" s="529"/>
      <c r="I162" s="62"/>
      <c r="K162" s="52"/>
      <c r="Z162" s="30"/>
      <c r="AA162" s="3"/>
      <c r="AC162" s="48"/>
      <c r="AJ162" s="2"/>
      <c r="AK162" s="2"/>
      <c r="AL162" s="2"/>
      <c r="AM162" s="2"/>
      <c r="AN162" s="2"/>
      <c r="AO162" s="2"/>
      <c r="AP162" s="2"/>
      <c r="AV162" s="3"/>
      <c r="AW162" s="3"/>
      <c r="AX162" s="3"/>
      <c r="AY162" s="3"/>
      <c r="AZ162" s="3"/>
      <c r="BB162" s="3"/>
    </row>
    <row r="163" spans="1:54" ht="15.65" customHeight="1" x14ac:dyDescent="0.35">
      <c r="B163" s="52"/>
      <c r="C163" s="529"/>
      <c r="I163" s="520"/>
      <c r="K163" s="52"/>
      <c r="Z163" s="30"/>
      <c r="AA163" s="3"/>
      <c r="AC163" s="48"/>
      <c r="AJ163" s="2"/>
      <c r="AK163" s="2"/>
      <c r="AL163" s="2"/>
      <c r="AM163" s="2"/>
      <c r="AN163" s="2"/>
      <c r="AO163" s="2"/>
      <c r="AP163" s="2"/>
      <c r="AV163" s="3"/>
      <c r="AW163" s="3"/>
      <c r="AX163" s="3"/>
      <c r="AY163" s="3"/>
      <c r="AZ163" s="3"/>
      <c r="BB163" s="3"/>
    </row>
    <row r="164" spans="1:54" ht="15.65" customHeight="1" x14ac:dyDescent="0.35">
      <c r="B164" s="52"/>
      <c r="C164" s="529" t="s">
        <v>475</v>
      </c>
      <c r="E164" s="2" t="s">
        <v>562</v>
      </c>
      <c r="I164" s="519"/>
      <c r="Z164" s="30"/>
      <c r="AA164" s="3"/>
      <c r="AC164" s="48"/>
      <c r="AJ164" s="2"/>
      <c r="AK164" s="2"/>
      <c r="AL164" s="2"/>
      <c r="AM164" s="2"/>
      <c r="AN164" s="2"/>
      <c r="AO164" s="2"/>
      <c r="AP164" s="2"/>
      <c r="AV164" s="3"/>
      <c r="AW164" s="3"/>
      <c r="AX164" s="3"/>
      <c r="AY164" s="3"/>
      <c r="AZ164" s="3"/>
      <c r="BB164" s="3"/>
    </row>
    <row r="165" spans="1:54" ht="15.75" customHeight="1" x14ac:dyDescent="0.35">
      <c r="A165" s="52"/>
      <c r="C165" s="47"/>
      <c r="E165" s="145" t="s">
        <v>563</v>
      </c>
      <c r="F165" s="124"/>
      <c r="Z165" s="30"/>
      <c r="AJ165" s="2"/>
      <c r="AK165" s="2"/>
      <c r="AL165" s="2"/>
      <c r="AM165" s="2"/>
      <c r="AN165" s="2"/>
      <c r="AO165" s="2"/>
      <c r="AP165" s="2"/>
      <c r="AV165" s="3"/>
      <c r="AW165" s="3"/>
      <c r="AX165" s="3"/>
      <c r="AY165" s="3"/>
      <c r="AZ165" s="3"/>
      <c r="BA165" s="60"/>
      <c r="BB165" s="60"/>
    </row>
    <row r="166" spans="1:54" ht="18" customHeight="1" x14ac:dyDescent="0.35">
      <c r="A166" s="52"/>
      <c r="D166" s="52"/>
      <c r="N166" s="2"/>
      <c r="Z166" s="97"/>
      <c r="AA166" s="42"/>
      <c r="AB166" s="42"/>
      <c r="AJ166" s="2"/>
      <c r="AK166" s="2"/>
      <c r="AL166" s="2"/>
      <c r="AM166" s="2"/>
      <c r="AN166" s="2"/>
      <c r="AO166" s="2"/>
      <c r="AP166" s="2"/>
      <c r="AV166" s="3"/>
      <c r="AW166" s="3"/>
      <c r="AX166" s="3"/>
      <c r="AY166" s="3"/>
      <c r="AZ166" s="3"/>
      <c r="BA166" s="3"/>
      <c r="BB166" s="60"/>
    </row>
    <row r="167" spans="1:54" ht="18" customHeight="1" x14ac:dyDescent="0.4">
      <c r="A167" s="52"/>
      <c r="D167" s="52"/>
      <c r="M167" s="43"/>
      <c r="N167" s="1050"/>
      <c r="O167" s="1050"/>
      <c r="P167" s="1051"/>
      <c r="T167" s="1052"/>
      <c r="U167" s="1053"/>
      <c r="V167" s="1054"/>
      <c r="Z167" s="97"/>
      <c r="AA167" s="42"/>
      <c r="AB167" s="42"/>
      <c r="AJ167" s="2"/>
      <c r="AK167" s="2"/>
      <c r="AL167" s="2"/>
      <c r="AM167" s="2"/>
      <c r="AN167" s="2"/>
      <c r="AO167" s="2"/>
      <c r="AP167" s="2"/>
      <c r="AV167" s="3"/>
      <c r="AW167" s="3"/>
      <c r="AX167" s="3"/>
      <c r="AY167" s="3"/>
      <c r="AZ167" s="3"/>
      <c r="BA167" s="3"/>
      <c r="BB167" s="60"/>
    </row>
    <row r="168" spans="1:54" ht="18" customHeight="1" x14ac:dyDescent="0.4">
      <c r="A168" s="52"/>
      <c r="B168" s="70" t="s">
        <v>3360</v>
      </c>
      <c r="C168" s="49"/>
      <c r="D168" s="49"/>
      <c r="E168" s="49"/>
      <c r="L168" s="142"/>
      <c r="M168" s="43"/>
      <c r="N168" s="1050"/>
      <c r="O168" s="1050"/>
      <c r="P168" s="1051"/>
      <c r="T168" s="1052"/>
      <c r="U168" s="1053"/>
      <c r="V168" s="1054"/>
      <c r="Z168" s="97"/>
      <c r="AA168" s="42"/>
      <c r="AB168" s="42"/>
      <c r="AJ168" s="2"/>
      <c r="AK168" s="2"/>
      <c r="AL168" s="2"/>
      <c r="AM168" s="2"/>
      <c r="AN168" s="2"/>
      <c r="AO168" s="2"/>
      <c r="AP168" s="2"/>
      <c r="AV168" s="3"/>
      <c r="AW168" s="3"/>
      <c r="AX168" s="3"/>
      <c r="AY168" s="3"/>
      <c r="AZ168" s="3"/>
      <c r="BA168" s="3"/>
      <c r="BB168" s="60"/>
    </row>
    <row r="169" spans="1:54" ht="18" customHeight="1" x14ac:dyDescent="0.4">
      <c r="A169" s="52"/>
      <c r="B169" s="70" t="s">
        <v>568</v>
      </c>
      <c r="C169" s="49"/>
      <c r="D169" s="49"/>
      <c r="E169" s="66"/>
      <c r="M169" s="43"/>
      <c r="N169" s="1050"/>
      <c r="O169" s="1050"/>
      <c r="P169" s="1051"/>
      <c r="T169" s="1052"/>
      <c r="U169" s="1053"/>
      <c r="V169" s="1054"/>
      <c r="Z169" s="97"/>
      <c r="AA169" s="42"/>
      <c r="AB169" s="42"/>
      <c r="AJ169" s="2"/>
      <c r="AK169" s="2"/>
      <c r="AL169" s="2"/>
      <c r="AM169" s="2"/>
      <c r="AN169" s="2"/>
      <c r="AO169" s="2"/>
      <c r="AP169" s="2"/>
      <c r="AV169" s="3"/>
      <c r="AW169" s="3"/>
      <c r="AX169" s="3"/>
      <c r="AY169" s="3"/>
      <c r="AZ169" s="3"/>
      <c r="BA169" s="3"/>
      <c r="BB169" s="60"/>
    </row>
    <row r="170" spans="1:54" ht="18" customHeight="1" thickBot="1" x14ac:dyDescent="0.45">
      <c r="A170" s="52"/>
      <c r="M170" s="43"/>
      <c r="N170" s="1050"/>
      <c r="O170" s="1050"/>
      <c r="P170" s="1051"/>
      <c r="T170" s="1052"/>
      <c r="U170" s="1053"/>
      <c r="V170" s="1054"/>
      <c r="Z170" s="97"/>
      <c r="AA170" s="42"/>
      <c r="AB170" s="42"/>
      <c r="AJ170" s="2"/>
      <c r="AK170" s="2"/>
      <c r="AL170" s="2"/>
      <c r="AM170" s="2"/>
      <c r="AN170" s="2"/>
      <c r="AO170" s="2"/>
      <c r="AP170" s="2"/>
      <c r="AV170" s="3"/>
      <c r="AW170" s="3"/>
      <c r="AX170" s="3"/>
      <c r="AY170" s="3"/>
      <c r="AZ170" s="3"/>
      <c r="BA170" s="3"/>
      <c r="BB170" s="60"/>
    </row>
    <row r="171" spans="1:54" ht="18" customHeight="1" thickBot="1" x14ac:dyDescent="0.5">
      <c r="A171" s="52"/>
      <c r="C171" s="1143" t="s">
        <v>569</v>
      </c>
      <c r="D171" s="1144"/>
      <c r="E171" s="1145"/>
      <c r="F171" s="518"/>
      <c r="J171" s="540" t="s">
        <v>3361</v>
      </c>
      <c r="K171" s="472" t="s">
        <v>422</v>
      </c>
      <c r="L171" s="323">
        <f>IF(C171="Select the Following","Null",
IF(C171="a) Primary Members (Structural Steel)",2,
IF(C171="b) Secondary Members",2.5,
IF(C171="c) Primary &amp; Secondary Members","N/A",""))))</f>
        <v>2</v>
      </c>
      <c r="M171" s="43"/>
      <c r="N171" s="1050"/>
      <c r="O171" s="1050"/>
      <c r="P171" s="1051"/>
      <c r="T171" s="1052"/>
      <c r="U171" s="1053"/>
      <c r="V171" s="1054"/>
      <c r="Z171" s="97"/>
      <c r="AA171" s="42"/>
      <c r="AB171" s="42"/>
      <c r="AJ171" s="2"/>
      <c r="AK171" s="2"/>
      <c r="AL171" s="2"/>
      <c r="AM171" s="2"/>
      <c r="AN171" s="2"/>
      <c r="AO171" s="2"/>
      <c r="AP171" s="2"/>
      <c r="AV171" s="3"/>
      <c r="AW171" s="3"/>
      <c r="AX171" s="3"/>
      <c r="AY171" s="3"/>
      <c r="AZ171" s="3"/>
      <c r="BA171" s="3"/>
      <c r="BB171" s="60"/>
    </row>
    <row r="172" spans="1:54" ht="18" customHeight="1" x14ac:dyDescent="0.4">
      <c r="A172" s="52"/>
      <c r="M172" s="43"/>
      <c r="N172" s="1050"/>
      <c r="O172" s="1050"/>
      <c r="P172" s="1051"/>
      <c r="T172" s="1052"/>
      <c r="U172" s="1053"/>
      <c r="V172" s="1054"/>
      <c r="Z172" s="97"/>
      <c r="AA172" s="42"/>
      <c r="AB172" s="42"/>
      <c r="AJ172" s="2"/>
      <c r="AK172" s="2"/>
      <c r="AL172" s="2"/>
      <c r="AM172" s="2"/>
      <c r="AN172" s="2"/>
      <c r="AO172" s="2"/>
      <c r="AP172" s="2"/>
      <c r="AV172" s="3"/>
      <c r="AW172" s="3"/>
      <c r="AX172" s="3"/>
      <c r="AY172" s="3"/>
      <c r="AZ172" s="3"/>
      <c r="BA172" s="3"/>
      <c r="BB172" s="60"/>
    </row>
    <row r="173" spans="1:54" ht="15.75" customHeight="1" thickBot="1" x14ac:dyDescent="0.4">
      <c r="A173" s="52"/>
      <c r="D173" s="52"/>
      <c r="N173" s="97"/>
      <c r="O173" s="42"/>
      <c r="P173" s="42"/>
      <c r="AP173" s="60"/>
    </row>
    <row r="174" spans="1:54" ht="18.75" customHeight="1" thickBot="1" x14ac:dyDescent="0.4">
      <c r="A174" s="52"/>
      <c r="B174" s="70" t="s">
        <v>564</v>
      </c>
      <c r="C174" s="70"/>
      <c r="D174" s="70"/>
      <c r="E174" s="70"/>
      <c r="F174" s="52"/>
      <c r="G174" s="519"/>
      <c r="H174" s="2" t="s">
        <v>3355</v>
      </c>
      <c r="J174" s="539" t="s">
        <v>565</v>
      </c>
      <c r="K174" s="473" t="s">
        <v>422</v>
      </c>
      <c r="L174" s="486">
        <v>1</v>
      </c>
    </row>
    <row r="175" spans="1:54" ht="15.65" customHeight="1" x14ac:dyDescent="0.4">
      <c r="A175" s="52"/>
      <c r="B175" s="154" t="s">
        <v>566</v>
      </c>
      <c r="C175" s="49"/>
      <c r="D175" s="49"/>
      <c r="E175" s="49"/>
    </row>
    <row r="176" spans="1:54" ht="20.149999999999999" hidden="1" customHeight="1" thickBot="1" x14ac:dyDescent="0.4">
      <c r="A176" s="52"/>
      <c r="B176" s="52"/>
      <c r="K176" s="319"/>
      <c r="L176" s="320"/>
      <c r="M176" s="321"/>
    </row>
    <row r="177" spans="1:28" ht="15.65" hidden="1" customHeight="1" thickBot="1" x14ac:dyDescent="0.35">
      <c r="A177" s="52"/>
      <c r="N177" s="127"/>
      <c r="O177" s="42"/>
      <c r="P177" s="38"/>
    </row>
    <row r="178" spans="1:28" ht="19.5" hidden="1" customHeight="1" x14ac:dyDescent="0.35">
      <c r="A178" s="52"/>
      <c r="B178" s="70" t="s">
        <v>567</v>
      </c>
      <c r="C178" s="49"/>
      <c r="D178" s="49"/>
      <c r="E178" s="49"/>
      <c r="L178" s="142"/>
      <c r="N178" s="127"/>
      <c r="O178" s="42"/>
      <c r="P178" s="38"/>
    </row>
    <row r="179" spans="1:28" ht="20.149999999999999" hidden="1" customHeight="1" thickBot="1" x14ac:dyDescent="0.4">
      <c r="A179" s="52"/>
      <c r="B179" s="70" t="s">
        <v>568</v>
      </c>
      <c r="C179" s="49"/>
      <c r="D179" s="49"/>
      <c r="E179" s="66"/>
    </row>
    <row r="180" spans="1:28" ht="15.75" hidden="1" customHeight="1" thickBot="1" x14ac:dyDescent="0.35">
      <c r="O180" s="61"/>
      <c r="P180" s="38"/>
    </row>
    <row r="181" spans="1:28" ht="15.75" hidden="1" customHeight="1" x14ac:dyDescent="0.35">
      <c r="C181" s="4"/>
      <c r="F181" s="271"/>
      <c r="AB181" s="69"/>
    </row>
    <row r="182" spans="1:28" ht="20.149999999999999" hidden="1" customHeight="1" x14ac:dyDescent="0.4">
      <c r="C182" s="1108" t="s">
        <v>569</v>
      </c>
      <c r="D182" s="1109"/>
      <c r="E182" s="1110"/>
      <c r="F182" s="518"/>
      <c r="J182" s="540" t="s">
        <v>570</v>
      </c>
      <c r="K182" s="472" t="s">
        <v>422</v>
      </c>
      <c r="L182" s="323">
        <f>IF(C182="Select the Following","Null",
IF(C182="a) Primary Members (Structural Steel)",2,
IF(C182="b) Secondary Members",2.5,
IF(C182="c) Primary &amp; Secondary Members","N/A",""))))</f>
        <v>2</v>
      </c>
      <c r="AB182" s="69"/>
    </row>
    <row r="183" spans="1:28" ht="18.5" customHeight="1" x14ac:dyDescent="0.35">
      <c r="F183" s="271"/>
      <c r="N183" s="2"/>
      <c r="Q183" s="72"/>
      <c r="AB183" s="69"/>
    </row>
    <row r="184" spans="1:28" ht="15.75" hidden="1" customHeight="1" thickBot="1" x14ac:dyDescent="0.4">
      <c r="B184" s="1105" t="s">
        <v>571</v>
      </c>
      <c r="C184" s="1098"/>
      <c r="D184" s="1098"/>
      <c r="E184" s="1098"/>
      <c r="F184" s="1098"/>
    </row>
    <row r="185" spans="1:28" ht="18" hidden="1" customHeight="1" thickBot="1" x14ac:dyDescent="0.4">
      <c r="B185" s="52"/>
      <c r="C185" s="1102" t="s">
        <v>572</v>
      </c>
      <c r="D185" s="1103"/>
      <c r="E185" s="1103"/>
      <c r="F185" s="1103"/>
      <c r="G185" s="1104"/>
      <c r="M185" s="138"/>
    </row>
    <row r="186" spans="1:28" ht="15.75" hidden="1" customHeight="1" x14ac:dyDescent="0.3"/>
    <row r="187" spans="1:28" ht="15.65" hidden="1" customHeight="1" thickBot="1" x14ac:dyDescent="0.4">
      <c r="B187" s="70" t="s">
        <v>573</v>
      </c>
    </row>
    <row r="188" spans="1:28" ht="15.65" hidden="1" customHeight="1" thickBot="1" x14ac:dyDescent="0.4">
      <c r="C188" s="1130" t="s">
        <v>389</v>
      </c>
      <c r="D188" s="1103"/>
      <c r="E188" s="1103"/>
      <c r="F188" s="1103"/>
      <c r="G188" s="1103"/>
      <c r="H188" s="1103"/>
      <c r="I188" s="1103"/>
      <c r="J188" s="1103"/>
      <c r="K188" s="1103"/>
      <c r="L188" s="1131"/>
    </row>
    <row r="189" spans="1:28" ht="15.75" hidden="1" customHeight="1" x14ac:dyDescent="0.35">
      <c r="C189" s="1106"/>
      <c r="D189" s="1107"/>
      <c r="E189" s="1107"/>
      <c r="F189" s="1107"/>
      <c r="G189" s="1107"/>
      <c r="H189" s="1107"/>
    </row>
    <row r="190" spans="1:28" ht="15.75" customHeight="1" x14ac:dyDescent="0.35">
      <c r="D190"/>
      <c r="E190"/>
      <c r="F190"/>
      <c r="G190"/>
      <c r="H190"/>
    </row>
    <row r="191" spans="1:28" ht="15.75" customHeight="1" x14ac:dyDescent="0.3">
      <c r="B191" s="102"/>
    </row>
    <row r="192" spans="1:28" ht="15.75" customHeight="1" x14ac:dyDescent="0.35">
      <c r="B192" s="70" t="s">
        <v>574</v>
      </c>
      <c r="C192" s="49"/>
      <c r="D192" s="49"/>
      <c r="E192" s="49"/>
      <c r="F192" s="49"/>
      <c r="N192" s="109"/>
    </row>
    <row r="193" spans="2:19" ht="15.75" customHeight="1" x14ac:dyDescent="0.35">
      <c r="B193" s="476" t="s">
        <v>575</v>
      </c>
      <c r="C193" s="52"/>
      <c r="D193" s="52"/>
      <c r="N193" s="109"/>
    </row>
    <row r="194" spans="2:19" ht="15.75" customHeight="1" x14ac:dyDescent="0.3">
      <c r="N194" s="109"/>
      <c r="P194" s="98"/>
      <c r="Q194" s="98"/>
    </row>
    <row r="195" spans="2:19" ht="15.75" customHeight="1" x14ac:dyDescent="0.35">
      <c r="B195" s="3" t="s">
        <v>576</v>
      </c>
      <c r="C195" t="s">
        <v>577</v>
      </c>
      <c r="H195" s="40" t="s">
        <v>578</v>
      </c>
      <c r="N195" s="109"/>
      <c r="P195" s="98"/>
      <c r="Q195" s="98"/>
      <c r="S195" s="7"/>
    </row>
    <row r="196" spans="2:19" ht="15.75" customHeight="1" x14ac:dyDescent="0.3">
      <c r="N196" s="109"/>
      <c r="P196" s="98"/>
      <c r="Q196" s="98"/>
      <c r="S196" s="7"/>
    </row>
    <row r="197" spans="2:19" ht="15.75" customHeight="1" x14ac:dyDescent="0.35">
      <c r="B197" s="109" t="s">
        <v>579</v>
      </c>
      <c r="C197" s="49" t="s">
        <v>580</v>
      </c>
      <c r="D197" s="49"/>
      <c r="E197" s="49"/>
      <c r="N197" s="109"/>
      <c r="P197" s="98"/>
      <c r="Q197" s="98"/>
      <c r="S197" s="7"/>
    </row>
    <row r="198" spans="2:19" ht="15.75" customHeight="1" x14ac:dyDescent="0.3">
      <c r="B198" s="30"/>
      <c r="N198" s="109"/>
      <c r="P198" s="98"/>
      <c r="Q198" s="98"/>
      <c r="S198" s="7"/>
    </row>
    <row r="199" spans="2:19" ht="15.75" customHeight="1" x14ac:dyDescent="0.35">
      <c r="E199" s="44" t="s">
        <v>581</v>
      </c>
      <c r="F199" s="59">
        <f>D138</f>
        <v>1.4024999999999999</v>
      </c>
      <c r="G199" s="106" t="s">
        <v>392</v>
      </c>
      <c r="H199" s="44" t="s">
        <v>582</v>
      </c>
      <c r="I199" s="40">
        <f>F11</f>
        <v>3.5</v>
      </c>
      <c r="J199" s="106" t="s">
        <v>392</v>
      </c>
      <c r="N199" s="109"/>
      <c r="P199" s="98"/>
      <c r="Q199" s="98"/>
      <c r="S199" s="7"/>
    </row>
    <row r="200" spans="2:19" ht="19.5" customHeight="1" x14ac:dyDescent="0.35">
      <c r="D200" s="94"/>
      <c r="E200" s="522"/>
      <c r="F200" s="106"/>
      <c r="G200" s="43"/>
      <c r="H200" s="42"/>
      <c r="I200" s="106"/>
      <c r="N200" s="109"/>
      <c r="P200" s="98"/>
      <c r="Q200" s="98"/>
      <c r="S200" s="7"/>
    </row>
    <row r="201" spans="2:19" ht="15.75" customHeight="1" x14ac:dyDescent="0.35">
      <c r="E201" s="44" t="s">
        <v>583</v>
      </c>
      <c r="F201" s="42">
        <f>F199/I199</f>
        <v>0.40071428571428569</v>
      </c>
      <c r="G201" s="43"/>
      <c r="H201" s="42"/>
      <c r="I201" s="106"/>
      <c r="N201" s="109"/>
      <c r="P201" s="98"/>
      <c r="Q201" s="98"/>
      <c r="S201" s="7"/>
    </row>
    <row r="202" spans="2:19" ht="15.75" customHeight="1" x14ac:dyDescent="0.35">
      <c r="D202" s="44"/>
      <c r="E202" s="42"/>
      <c r="F202" s="106"/>
      <c r="G202" s="4"/>
      <c r="H202" s="42"/>
      <c r="I202" s="106"/>
      <c r="N202" s="109"/>
      <c r="P202" s="98"/>
      <c r="Q202" s="98"/>
      <c r="S202" s="7"/>
    </row>
    <row r="203" spans="2:19" ht="15.65" hidden="1" customHeight="1" x14ac:dyDescent="0.3">
      <c r="N203" s="2"/>
      <c r="P203" s="98"/>
      <c r="Q203" s="98"/>
      <c r="R203" s="98"/>
      <c r="S203" s="7"/>
    </row>
    <row r="204" spans="2:19" ht="15.65" customHeight="1" x14ac:dyDescent="0.3">
      <c r="B204" s="2" t="s">
        <v>584</v>
      </c>
      <c r="C204" s="43" t="s">
        <v>585</v>
      </c>
      <c r="N204" s="109"/>
      <c r="P204" s="98"/>
      <c r="Q204" s="98"/>
      <c r="R204" s="98"/>
      <c r="S204" s="7"/>
    </row>
    <row r="205" spans="2:19" ht="15.65" customHeight="1" thickBot="1" x14ac:dyDescent="0.35">
      <c r="N205" s="109"/>
      <c r="P205" s="98"/>
      <c r="Q205" s="98"/>
      <c r="R205" s="98"/>
      <c r="S205" s="7"/>
    </row>
    <row r="206" spans="2:19" ht="15.65" customHeight="1" thickBot="1" x14ac:dyDescent="0.35">
      <c r="C206" s="2" t="s">
        <v>586</v>
      </c>
      <c r="E206" s="4">
        <v>0.25</v>
      </c>
      <c r="H206" s="156" t="b">
        <f>IF(F201&lt;E206, 0.6, FALSE)</f>
        <v>0</v>
      </c>
      <c r="N206" s="109"/>
      <c r="P206" s="98"/>
      <c r="Q206" s="98"/>
      <c r="R206" s="98"/>
      <c r="S206" s="7"/>
    </row>
    <row r="207" spans="2:19" ht="15.75" customHeight="1" thickBot="1" x14ac:dyDescent="0.35">
      <c r="N207" s="109"/>
      <c r="P207" s="98"/>
      <c r="Q207" s="98"/>
      <c r="R207" s="98"/>
      <c r="S207" s="7"/>
    </row>
    <row r="208" spans="2:19" ht="15.75" customHeight="1" thickBot="1" x14ac:dyDescent="0.45">
      <c r="D208" s="47" t="s">
        <v>587</v>
      </c>
      <c r="E208" s="3" t="s">
        <v>588</v>
      </c>
      <c r="H208" s="157">
        <f>IF(AND(F201&gt;0.24,F201&lt;1), F201,FALSE)</f>
        <v>0.40071428571428569</v>
      </c>
      <c r="J208" s="196" t="s">
        <v>589</v>
      </c>
      <c r="K208" s="155">
        <f>H208</f>
        <v>0.40071428571428569</v>
      </c>
      <c r="L208" s="548" t="s">
        <v>590</v>
      </c>
      <c r="M208" s="287"/>
      <c r="N208" s="1057" t="str">
        <f>IF(H206=TRUE,0.6,IF(H208=TRUE,(0.27*($F$199/$I$199)+0.2),IF(H210=TRUE,0.8,"")))</f>
        <v/>
      </c>
      <c r="O208" s="42"/>
      <c r="P208" s="109"/>
      <c r="Q208" s="98"/>
      <c r="R208" s="98"/>
      <c r="S208" s="7"/>
    </row>
    <row r="209" spans="2:72" ht="19.5" customHeight="1" thickBot="1" x14ac:dyDescent="0.35">
      <c r="D209" s="93" t="s">
        <v>591</v>
      </c>
      <c r="E209" s="107">
        <f>0.27* (E207 +2)</f>
        <v>0.54</v>
      </c>
      <c r="H209" s="85"/>
      <c r="N209" s="2"/>
      <c r="P209" s="109"/>
      <c r="Q209" s="98"/>
      <c r="R209" s="98"/>
      <c r="S209" s="7"/>
    </row>
    <row r="210" spans="2:72" ht="15.75" customHeight="1" thickBot="1" x14ac:dyDescent="0.35">
      <c r="C210" s="2" t="s">
        <v>592</v>
      </c>
      <c r="E210" s="107" t="e">
        <f>0.27* (E208 +2)</f>
        <v>#VALUE!</v>
      </c>
      <c r="H210" s="156" t="b">
        <f>IF(F201 &gt; 0.99, 0.8)</f>
        <v>0</v>
      </c>
      <c r="N210" s="2"/>
      <c r="P210" s="109"/>
      <c r="Q210" s="98"/>
      <c r="R210" s="98"/>
      <c r="S210" s="7"/>
    </row>
    <row r="211" spans="2:72" ht="15.75" customHeight="1" x14ac:dyDescent="0.3">
      <c r="N211" s="2"/>
      <c r="P211" s="109"/>
      <c r="Q211" s="98"/>
      <c r="R211" s="98"/>
      <c r="S211" s="7"/>
    </row>
    <row r="212" spans="2:72" ht="15.75" customHeight="1" x14ac:dyDescent="0.3">
      <c r="N212" s="2"/>
      <c r="P212" s="109"/>
      <c r="Q212" s="98"/>
      <c r="R212" s="98"/>
      <c r="S212" s="7"/>
    </row>
    <row r="213" spans="2:72" ht="15.75" customHeight="1" x14ac:dyDescent="0.4">
      <c r="B213" s="2" t="s">
        <v>470</v>
      </c>
      <c r="C213" s="42" t="s">
        <v>593</v>
      </c>
      <c r="K213" s="108"/>
      <c r="L213" s="43"/>
      <c r="M213" s="42"/>
      <c r="N213" s="42"/>
      <c r="O213" s="42"/>
      <c r="P213" s="109"/>
      <c r="Q213" s="98"/>
      <c r="R213" s="98"/>
      <c r="S213" s="7"/>
    </row>
    <row r="214" spans="2:72" ht="19.5" customHeight="1" thickBot="1" x14ac:dyDescent="0.45">
      <c r="K214" s="108"/>
      <c r="L214" s="43"/>
      <c r="M214" s="42"/>
      <c r="N214" s="42"/>
      <c r="O214" s="42"/>
      <c r="P214" s="109"/>
      <c r="Q214" s="98"/>
      <c r="R214" s="98"/>
      <c r="S214" s="7"/>
    </row>
    <row r="215" spans="2:72" ht="17.149999999999999" customHeight="1" thickBot="1" x14ac:dyDescent="0.45">
      <c r="C215" s="2" t="s">
        <v>594</v>
      </c>
      <c r="H215" s="156" t="b">
        <f>IF(F201 &lt; 0.25, -0.3)</f>
        <v>0</v>
      </c>
      <c r="K215" s="108"/>
      <c r="L215" s="43"/>
      <c r="M215" s="42"/>
      <c r="N215" s="42"/>
      <c r="O215" s="42"/>
      <c r="P215" s="109"/>
      <c r="Q215" s="98"/>
      <c r="R215" s="98"/>
      <c r="S215" s="7"/>
      <c r="BG215" s="83"/>
      <c r="BH215" s="84"/>
      <c r="BI215" s="86"/>
      <c r="BJ215" s="86"/>
      <c r="BK215" s="86"/>
      <c r="BL215" s="86"/>
      <c r="BM215" s="86"/>
      <c r="BN215" s="86"/>
      <c r="BO215" s="86"/>
      <c r="BP215" s="86"/>
      <c r="BQ215" s="86"/>
      <c r="BR215" s="86"/>
      <c r="BS215" s="86"/>
      <c r="BT215" s="87"/>
    </row>
    <row r="216" spans="2:72" ht="17.149999999999999" customHeight="1" thickBot="1" x14ac:dyDescent="0.45">
      <c r="K216" s="108"/>
      <c r="L216" s="43"/>
      <c r="M216" s="42"/>
      <c r="N216" s="42"/>
      <c r="O216" s="42"/>
      <c r="P216" s="109"/>
      <c r="Q216" s="98"/>
      <c r="R216" s="98"/>
      <c r="S216" s="7"/>
      <c r="BG216" s="74"/>
      <c r="BH216" s="88"/>
      <c r="BI216" s="75"/>
      <c r="BJ216" s="75"/>
      <c r="BK216" s="75"/>
      <c r="BL216" s="75"/>
      <c r="BM216" s="75"/>
      <c r="BN216" s="75"/>
      <c r="BO216" s="75"/>
      <c r="BP216" s="75"/>
      <c r="BQ216" s="75"/>
      <c r="BR216" s="75"/>
      <c r="BS216" s="75"/>
      <c r="BT216" s="76"/>
    </row>
    <row r="217" spans="2:72" ht="17.149999999999999" customHeight="1" thickBot="1" x14ac:dyDescent="0.45">
      <c r="C217" s="2" t="s">
        <v>595</v>
      </c>
      <c r="H217" s="156">
        <f>IF(AND(F201 &gt; 0.24, F201 &lt; 1), -0.27*(F201+0.88),FALSE)</f>
        <v>-0.34579285714285718</v>
      </c>
      <c r="J217" s="540" t="s">
        <v>589</v>
      </c>
      <c r="K217" s="197">
        <f>H217</f>
        <v>-0.34579285714285718</v>
      </c>
      <c r="L217" s="549" t="s">
        <v>596</v>
      </c>
      <c r="M217" s="287"/>
      <c r="N217" s="287"/>
      <c r="P217" s="109"/>
      <c r="Q217" s="98"/>
      <c r="R217" s="98"/>
      <c r="S217" s="7"/>
      <c r="BG217" s="74"/>
      <c r="BH217" s="88"/>
      <c r="BI217" s="75"/>
      <c r="BJ217" s="75"/>
      <c r="BK217" s="75"/>
      <c r="BL217" s="75"/>
      <c r="BM217" s="75"/>
      <c r="BN217" s="75"/>
      <c r="BO217" s="75"/>
      <c r="BP217" s="75"/>
      <c r="BQ217" s="75"/>
      <c r="BR217" s="75"/>
      <c r="BS217" s="75"/>
      <c r="BT217" s="76"/>
    </row>
    <row r="218" spans="2:72" ht="17.149999999999999" customHeight="1" thickBot="1" x14ac:dyDescent="0.4">
      <c r="N218" s="2"/>
      <c r="P218" s="109"/>
      <c r="Q218" s="98"/>
      <c r="R218" s="98"/>
      <c r="S218" s="7"/>
      <c r="BG218" s="74"/>
      <c r="BH218" s="88"/>
      <c r="BI218" s="75"/>
      <c r="BJ218" s="75"/>
      <c r="BK218" s="75"/>
      <c r="BL218" s="75"/>
      <c r="BM218" s="75"/>
      <c r="BN218" s="75"/>
      <c r="BO218" s="75"/>
      <c r="BP218" s="75"/>
      <c r="BQ218" s="75"/>
      <c r="BR218" s="75"/>
      <c r="BS218" s="75"/>
      <c r="BT218" s="76"/>
    </row>
    <row r="219" spans="2:72" ht="17.149999999999999" customHeight="1" thickBot="1" x14ac:dyDescent="0.4">
      <c r="C219" s="2" t="s">
        <v>597</v>
      </c>
      <c r="H219" s="156" t="b">
        <f>IF(F201 &gt; 0.99, -0.5)</f>
        <v>0</v>
      </c>
      <c r="N219" s="2"/>
      <c r="P219" s="109"/>
      <c r="Q219" s="98"/>
      <c r="R219" s="98"/>
      <c r="S219" s="7"/>
      <c r="BG219" s="74"/>
      <c r="BH219" s="88"/>
      <c r="BI219" s="75"/>
      <c r="BJ219" s="75"/>
      <c r="BK219" s="75"/>
      <c r="BL219" s="75"/>
      <c r="BM219" s="75"/>
      <c r="BN219" s="75"/>
      <c r="BO219" s="75"/>
      <c r="BP219" s="75"/>
      <c r="BQ219" s="75"/>
      <c r="BR219" s="75"/>
      <c r="BS219" s="75"/>
      <c r="BT219" s="76"/>
    </row>
    <row r="220" spans="2:72" ht="17.149999999999999" customHeight="1" x14ac:dyDescent="0.35">
      <c r="N220" s="2"/>
      <c r="P220" s="109"/>
      <c r="Q220" s="98"/>
      <c r="R220" s="98"/>
      <c r="S220" s="7"/>
      <c r="BG220" s="74"/>
      <c r="BH220" s="88"/>
      <c r="BI220" s="75"/>
      <c r="BJ220" s="75"/>
      <c r="BK220" s="75"/>
      <c r="BL220" s="75"/>
      <c r="BM220" s="75"/>
      <c r="BN220" s="75"/>
      <c r="BO220" s="75"/>
      <c r="BP220" s="75"/>
      <c r="BQ220" s="75"/>
      <c r="BR220" s="75"/>
      <c r="BS220" s="75"/>
      <c r="BT220" s="76"/>
    </row>
    <row r="221" spans="2:72" ht="17.149999999999999" customHeight="1" thickBot="1" x14ac:dyDescent="0.4">
      <c r="N221" s="2"/>
      <c r="P221" s="109"/>
      <c r="Q221" s="98"/>
      <c r="R221" s="98"/>
      <c r="S221" s="7"/>
      <c r="BG221" s="74"/>
      <c r="BH221" s="88"/>
      <c r="BI221" s="75"/>
      <c r="BJ221" s="75"/>
      <c r="BK221" s="75"/>
      <c r="BL221" s="75"/>
      <c r="BM221" s="75"/>
      <c r="BN221" s="75"/>
      <c r="BO221" s="75"/>
      <c r="BP221" s="75"/>
      <c r="BQ221" s="75"/>
      <c r="BR221" s="75"/>
      <c r="BS221" s="75"/>
      <c r="BT221" s="76"/>
    </row>
    <row r="222" spans="2:72" ht="17.149999999999999" customHeight="1" thickBot="1" x14ac:dyDescent="0.45">
      <c r="B222" s="2" t="s">
        <v>475</v>
      </c>
      <c r="C222" s="42" t="s">
        <v>598</v>
      </c>
      <c r="J222" s="196" t="s">
        <v>589</v>
      </c>
      <c r="K222" s="155">
        <v>-0.7</v>
      </c>
      <c r="L222" s="550" t="s">
        <v>599</v>
      </c>
      <c r="M222" s="551"/>
      <c r="N222" s="551"/>
      <c r="P222" s="127"/>
      <c r="Q222" s="98"/>
      <c r="R222" s="98"/>
      <c r="S222" s="7"/>
      <c r="BG222" s="74"/>
      <c r="BH222" s="88"/>
      <c r="BI222" s="75"/>
      <c r="BJ222" s="75"/>
      <c r="BK222" s="75"/>
      <c r="BL222" s="75"/>
      <c r="BM222" s="75"/>
      <c r="BN222" s="75"/>
      <c r="BO222" s="75"/>
      <c r="BP222" s="75"/>
      <c r="BQ222" s="75"/>
      <c r="BR222" s="75"/>
      <c r="BS222" s="75"/>
      <c r="BT222" s="76"/>
    </row>
    <row r="223" spans="2:72" ht="17.149999999999999" customHeight="1" x14ac:dyDescent="0.35">
      <c r="C223" s="110" t="s">
        <v>600</v>
      </c>
      <c r="D223" s="110"/>
      <c r="N223" s="109"/>
      <c r="P223" s="98"/>
      <c r="Q223" s="98"/>
      <c r="R223" s="98"/>
      <c r="S223" s="7"/>
      <c r="BG223" s="74"/>
      <c r="BH223" s="88"/>
      <c r="BI223" s="75"/>
      <c r="BJ223" s="75"/>
      <c r="BK223" s="75"/>
      <c r="BL223" s="75"/>
      <c r="BM223" s="75"/>
      <c r="BN223" s="75"/>
      <c r="BO223" s="75"/>
      <c r="BP223" s="75"/>
      <c r="BQ223" s="75"/>
      <c r="BR223" s="75"/>
      <c r="BS223" s="75"/>
      <c r="BT223" s="76"/>
    </row>
    <row r="224" spans="2:72" ht="17.149999999999999" customHeight="1" x14ac:dyDescent="0.35">
      <c r="N224" s="2"/>
      <c r="P224" s="98"/>
      <c r="Q224" s="98"/>
      <c r="R224" s="98"/>
      <c r="S224" s="7"/>
      <c r="BG224" s="74"/>
      <c r="BH224" s="88"/>
      <c r="BI224" s="75"/>
      <c r="BJ224" s="75"/>
      <c r="BK224" s="75"/>
      <c r="BL224" s="75"/>
      <c r="BM224" s="75"/>
      <c r="BN224" s="75"/>
      <c r="BO224" s="75"/>
      <c r="BP224" s="75"/>
      <c r="BQ224" s="75"/>
      <c r="BR224" s="75"/>
      <c r="BS224" s="75"/>
      <c r="BT224" s="76"/>
    </row>
    <row r="225" spans="2:72" ht="17.149999999999999" customHeight="1" thickBot="1" x14ac:dyDescent="0.4">
      <c r="D225" s="110"/>
      <c r="E225" s="110"/>
      <c r="N225" s="109"/>
      <c r="P225" s="98"/>
      <c r="Q225" s="98"/>
      <c r="R225" s="98"/>
      <c r="S225" s="7"/>
      <c r="BG225" s="74"/>
      <c r="BH225" s="88"/>
      <c r="BI225" s="75"/>
      <c r="BJ225" s="75"/>
      <c r="BK225" s="75"/>
      <c r="BL225" s="75"/>
      <c r="BM225" s="75"/>
      <c r="BN225" s="75"/>
      <c r="BO225" s="75"/>
      <c r="BP225" s="75"/>
      <c r="BQ225" s="75"/>
      <c r="BR225" s="75"/>
      <c r="BS225" s="75"/>
      <c r="BT225" s="76"/>
    </row>
    <row r="226" spans="2:72" ht="17.149999999999999" customHeight="1" thickBot="1" x14ac:dyDescent="0.45">
      <c r="D226" s="110"/>
      <c r="E226" s="110"/>
      <c r="J226" s="196" t="s">
        <v>589</v>
      </c>
      <c r="K226" s="155">
        <f>MAX(K208,K217,K222)</f>
        <v>0.40071428571428569</v>
      </c>
      <c r="N226" s="109"/>
      <c r="P226" s="98"/>
      <c r="Q226" s="98"/>
      <c r="R226" s="98"/>
      <c r="S226" s="7"/>
      <c r="BG226" s="1055"/>
      <c r="BH226" s="1056"/>
      <c r="BI226" s="1055"/>
      <c r="BJ226" s="1055"/>
      <c r="BK226" s="1055"/>
      <c r="BL226" s="1055"/>
      <c r="BM226" s="1055"/>
      <c r="BN226" s="1055"/>
      <c r="BO226" s="1055"/>
      <c r="BP226" s="1055"/>
      <c r="BQ226" s="1055"/>
      <c r="BR226" s="1055"/>
      <c r="BS226" s="1055"/>
      <c r="BT226" s="1055"/>
    </row>
    <row r="227" spans="2:72" ht="17.149999999999999" customHeight="1" x14ac:dyDescent="0.3">
      <c r="N227" s="109"/>
      <c r="P227" s="98"/>
      <c r="Q227" s="98"/>
      <c r="R227" s="98"/>
      <c r="S227" s="7"/>
    </row>
    <row r="228" spans="2:72" ht="17.149999999999999" hidden="1" customHeight="1" thickBot="1" x14ac:dyDescent="0.4">
      <c r="C228" s="70" t="s">
        <v>610</v>
      </c>
      <c r="D228" s="70"/>
      <c r="E228" s="70"/>
      <c r="F228" s="70"/>
      <c r="G228" s="70"/>
      <c r="H228" s="70"/>
      <c r="I228" s="70"/>
      <c r="M228" s="121"/>
      <c r="N228" s="109"/>
      <c r="P228" s="98"/>
      <c r="Q228" s="98"/>
      <c r="R228" s="98"/>
      <c r="S228" s="7"/>
    </row>
    <row r="229" spans="2:72" ht="17.149999999999999" hidden="1" customHeight="1" x14ac:dyDescent="0.3">
      <c r="C229" s="2" t="s">
        <v>611</v>
      </c>
      <c r="M229" s="286"/>
      <c r="N229" s="109"/>
      <c r="P229" s="98"/>
      <c r="Q229" s="98"/>
      <c r="R229" s="98"/>
      <c r="S229" s="7"/>
    </row>
    <row r="230" spans="2:72" ht="17.149999999999999" hidden="1" customHeight="1" x14ac:dyDescent="0.3">
      <c r="N230" s="109"/>
      <c r="P230" s="98"/>
      <c r="Q230" s="98"/>
      <c r="R230" s="98"/>
      <c r="S230" s="7"/>
    </row>
    <row r="231" spans="2:72" ht="17.149999999999999" hidden="1" customHeight="1" x14ac:dyDescent="0.35">
      <c r="B231" s="2" t="s">
        <v>612</v>
      </c>
      <c r="C231" s="2" t="s">
        <v>613</v>
      </c>
      <c r="F231"/>
      <c r="N231" s="109"/>
      <c r="P231" s="98"/>
      <c r="Q231" s="98"/>
      <c r="R231" s="98"/>
      <c r="S231" s="7"/>
    </row>
    <row r="232" spans="2:72" ht="17.149999999999999" hidden="1" customHeight="1" thickBot="1" x14ac:dyDescent="0.35">
      <c r="N232" s="109"/>
      <c r="P232" s="98"/>
      <c r="Q232" s="98"/>
      <c r="R232" s="98"/>
      <c r="S232" s="7"/>
    </row>
    <row r="233" spans="2:72" ht="15.65" hidden="1" customHeight="1" thickBot="1" x14ac:dyDescent="0.4">
      <c r="D233" s="94" t="s">
        <v>528</v>
      </c>
      <c r="E233" s="94"/>
      <c r="G233" s="1127" t="e">
        <f>(AND(D138&lt;=20,D138&lt;#REF!))</f>
        <v>#REF!</v>
      </c>
      <c r="H233" s="1128"/>
      <c r="N233" s="109"/>
      <c r="P233" s="98"/>
      <c r="Q233" s="98"/>
      <c r="R233" s="98"/>
      <c r="S233" s="7"/>
    </row>
    <row r="234" spans="2:72" ht="17.149999999999999" hidden="1" customHeight="1" x14ac:dyDescent="0.3">
      <c r="N234" s="109"/>
      <c r="P234" s="98"/>
      <c r="Q234" s="98"/>
      <c r="R234" s="98"/>
      <c r="S234" s="7"/>
    </row>
    <row r="235" spans="2:72" ht="17.149999999999999" hidden="1" customHeight="1" x14ac:dyDescent="0.3">
      <c r="B235" s="2" t="s">
        <v>579</v>
      </c>
      <c r="C235" s="2" t="s">
        <v>614</v>
      </c>
      <c r="K235" s="42" t="s">
        <v>615</v>
      </c>
      <c r="L235" s="42"/>
      <c r="M235" s="127"/>
      <c r="N235" s="2"/>
      <c r="P235" s="98"/>
      <c r="Q235" s="98"/>
      <c r="R235" s="98"/>
      <c r="S235" s="7"/>
    </row>
    <row r="236" spans="2:72" ht="17.149999999999999" hidden="1" customHeight="1" x14ac:dyDescent="0.3">
      <c r="C236" s="2" t="s">
        <v>616</v>
      </c>
      <c r="N236" s="109"/>
      <c r="P236" s="98"/>
      <c r="Q236" s="98"/>
      <c r="R236" s="98"/>
      <c r="S236" s="7"/>
    </row>
    <row r="237" spans="2:72" ht="15.65" hidden="1" customHeight="1" x14ac:dyDescent="0.3">
      <c r="N237" s="109"/>
      <c r="P237" s="98"/>
      <c r="Q237" s="98"/>
      <c r="R237" s="98"/>
      <c r="S237" s="7"/>
    </row>
    <row r="238" spans="2:72" ht="15.65" hidden="1" customHeight="1" x14ac:dyDescent="0.4">
      <c r="C238" s="178" t="s">
        <v>617</v>
      </c>
      <c r="D238" s="154"/>
      <c r="E238" s="52"/>
      <c r="O238" s="48"/>
      <c r="Q238" s="98"/>
      <c r="R238" s="98"/>
      <c r="S238" s="7"/>
    </row>
    <row r="239" spans="2:72" ht="15.65" hidden="1" customHeight="1" x14ac:dyDescent="0.35">
      <c r="C239" s="117"/>
      <c r="D239" s="52"/>
      <c r="E239" s="52"/>
      <c r="O239" s="48"/>
      <c r="Q239" s="98"/>
      <c r="R239" s="98"/>
      <c r="S239" s="7"/>
    </row>
    <row r="240" spans="2:72" ht="15.65" hidden="1" customHeight="1" x14ac:dyDescent="0.35">
      <c r="B240" t="s">
        <v>618</v>
      </c>
      <c r="C240" s="2" t="s">
        <v>619</v>
      </c>
      <c r="O240" s="48"/>
      <c r="Q240" s="98"/>
      <c r="R240" s="98"/>
      <c r="S240" s="7"/>
    </row>
    <row r="241" spans="2:28" ht="15.75" hidden="1" customHeight="1" x14ac:dyDescent="0.35">
      <c r="B241" s="179" t="s">
        <v>620</v>
      </c>
      <c r="O241" s="48"/>
      <c r="Q241" s="98"/>
      <c r="R241" s="98"/>
      <c r="S241" s="7"/>
    </row>
    <row r="242" spans="2:28" ht="15.75" hidden="1" customHeight="1" x14ac:dyDescent="0.35">
      <c r="B242" t="s">
        <v>621</v>
      </c>
      <c r="C242" s="2" t="s">
        <v>622</v>
      </c>
      <c r="H242"/>
      <c r="O242" s="48"/>
      <c r="Q242" s="98"/>
      <c r="R242" s="98"/>
      <c r="S242" s="7"/>
    </row>
    <row r="243" spans="2:28" ht="15.75" hidden="1" customHeight="1" x14ac:dyDescent="0.35">
      <c r="C243" s="104" t="s">
        <v>623</v>
      </c>
      <c r="D243" s="49"/>
      <c r="E243" s="49"/>
      <c r="F243" s="49"/>
      <c r="G243" s="49"/>
      <c r="H243" s="49"/>
      <c r="I243" s="49"/>
      <c r="O243" s="48"/>
      <c r="Q243" s="98"/>
      <c r="R243" s="98"/>
      <c r="S243" s="7"/>
    </row>
    <row r="244" spans="2:28" ht="15.75" hidden="1" customHeight="1" x14ac:dyDescent="0.35">
      <c r="C244" s="104"/>
      <c r="D244" s="49"/>
      <c r="E244" s="49"/>
      <c r="F244" s="49"/>
      <c r="G244" s="49"/>
      <c r="H244" s="49"/>
      <c r="I244" s="49"/>
      <c r="O244" s="48"/>
      <c r="Q244" s="98"/>
      <c r="R244" s="98"/>
      <c r="S244" s="7"/>
    </row>
    <row r="245" spans="2:28" ht="15.75" hidden="1" customHeight="1" x14ac:dyDescent="0.35">
      <c r="C245" s="44" t="s">
        <v>624</v>
      </c>
      <c r="D245" s="43" t="e">
        <f>0.1*(#REF!)</f>
        <v>#REF!</v>
      </c>
      <c r="F245" s="44" t="s">
        <v>625</v>
      </c>
      <c r="G245" s="43" t="e">
        <f>0.4*(#REF!)</f>
        <v>#REF!</v>
      </c>
      <c r="H245" s="552" t="s">
        <v>626</v>
      </c>
      <c r="I245" s="308"/>
      <c r="J245" s="308"/>
      <c r="K245" s="328"/>
      <c r="L245" s="345" t="e">
        <f>D245+G245</f>
        <v>#REF!</v>
      </c>
      <c r="M245" s="342" t="s">
        <v>392</v>
      </c>
      <c r="N245" s="649" t="s">
        <v>627</v>
      </c>
      <c r="O245" s="127" t="e">
        <f>2*L245</f>
        <v>#REF!</v>
      </c>
      <c r="P245" s="343" t="s">
        <v>392</v>
      </c>
      <c r="R245" s="98"/>
      <c r="S245" s="7"/>
    </row>
    <row r="246" spans="2:28" ht="15.75" hidden="1" customHeight="1" thickBot="1" x14ac:dyDescent="0.4">
      <c r="D246" s="47"/>
      <c r="E246" s="4"/>
      <c r="G246" s="47"/>
      <c r="H246" s="4"/>
      <c r="K246" s="7"/>
      <c r="N246" s="2"/>
      <c r="O246" s="48"/>
      <c r="Q246" s="98"/>
      <c r="R246" s="98"/>
      <c r="S246" s="7"/>
    </row>
    <row r="247" spans="2:28" ht="15.75" hidden="1" customHeight="1" thickBot="1" x14ac:dyDescent="0.35">
      <c r="B247" s="2" t="s">
        <v>628</v>
      </c>
      <c r="D247" s="44" t="s">
        <v>629</v>
      </c>
      <c r="E247" s="44" t="s">
        <v>630</v>
      </c>
      <c r="F247" s="43" t="e">
        <f>#REF!/#REF!</f>
        <v>#REF!</v>
      </c>
      <c r="G247" s="40" t="s">
        <v>631</v>
      </c>
      <c r="H247" s="553" t="s">
        <v>632</v>
      </c>
      <c r="N247" s="2"/>
      <c r="O247" s="94"/>
      <c r="Q247" s="98"/>
      <c r="R247" s="98"/>
      <c r="S247" s="7"/>
    </row>
    <row r="248" spans="2:28" ht="15.75" hidden="1" customHeight="1" thickBot="1" x14ac:dyDescent="0.35">
      <c r="D248" s="47"/>
      <c r="N248" s="29"/>
      <c r="Q248" s="98"/>
      <c r="R248" s="98"/>
      <c r="S248" s="7"/>
    </row>
    <row r="249" spans="2:28" ht="15.75" hidden="1" customHeight="1" thickBot="1" x14ac:dyDescent="0.4">
      <c r="C249" s="70" t="s">
        <v>526</v>
      </c>
      <c r="F249" s="336" t="s">
        <v>463</v>
      </c>
      <c r="G249" s="337">
        <f>L76</f>
        <v>0</v>
      </c>
      <c r="H249" s="338" t="s">
        <v>465</v>
      </c>
      <c r="I249" s="112"/>
      <c r="N249" s="142"/>
      <c r="O249" s="142"/>
      <c r="P249" s="7"/>
      <c r="R249" s="98"/>
      <c r="S249" s="7"/>
    </row>
    <row r="250" spans="2:28" ht="15.75" hidden="1" customHeight="1" x14ac:dyDescent="0.35">
      <c r="C250" s="70"/>
      <c r="F250" s="1"/>
      <c r="G250" s="112"/>
      <c r="H250" s="112"/>
      <c r="I250" s="112"/>
      <c r="N250" s="142"/>
      <c r="O250" s="142"/>
      <c r="P250" s="7"/>
      <c r="R250" s="98"/>
      <c r="S250" s="7"/>
    </row>
    <row r="251" spans="2:28" ht="15.75" hidden="1" customHeight="1" x14ac:dyDescent="0.35">
      <c r="C251" s="70"/>
      <c r="F251" s="1"/>
      <c r="G251" s="112"/>
      <c r="H251" s="112"/>
      <c r="I251" s="112"/>
      <c r="N251" s="142"/>
      <c r="O251" s="142"/>
      <c r="P251" s="7"/>
      <c r="R251" s="98"/>
      <c r="S251" s="7"/>
    </row>
    <row r="252" spans="2:28" ht="15.75" hidden="1" customHeight="1" thickBot="1" x14ac:dyDescent="0.4">
      <c r="C252" s="998" t="s">
        <v>633</v>
      </c>
      <c r="D252" s="999" t="s">
        <v>634</v>
      </c>
      <c r="E252" s="1000" t="s">
        <v>635</v>
      </c>
      <c r="F252" s="1000" t="s">
        <v>535</v>
      </c>
      <c r="G252" s="1000" t="s">
        <v>636</v>
      </c>
      <c r="H252" s="1000" t="s">
        <v>538</v>
      </c>
      <c r="I252" s="1000" t="s">
        <v>637</v>
      </c>
      <c r="J252" s="1000" t="s">
        <v>542</v>
      </c>
      <c r="K252" s="1000" t="s">
        <v>638</v>
      </c>
      <c r="L252" s="1000" t="s">
        <v>543</v>
      </c>
      <c r="M252" s="1000" t="s">
        <v>639</v>
      </c>
      <c r="N252" s="1000" t="s">
        <v>545</v>
      </c>
      <c r="O252" s="1000" t="s">
        <v>640</v>
      </c>
      <c r="P252" s="1001" t="s">
        <v>547</v>
      </c>
      <c r="R252" s="98"/>
      <c r="S252" s="147"/>
      <c r="T252" s="142"/>
      <c r="U252" s="142"/>
      <c r="V252" s="142"/>
      <c r="W252" s="142"/>
      <c r="X252" s="142"/>
      <c r="Y252" s="142"/>
      <c r="Z252" s="142"/>
      <c r="AA252" s="142"/>
      <c r="AB252" s="142"/>
    </row>
    <row r="253" spans="2:28" ht="15.75" hidden="1" customHeight="1" thickBot="1" x14ac:dyDescent="0.4">
      <c r="C253" s="1002" t="s">
        <v>381</v>
      </c>
      <c r="D253" s="1003" t="str">
        <f>AT156</f>
        <v xml:space="preserve"> 0° to 5°</v>
      </c>
      <c r="E253" s="1004">
        <v>0.75</v>
      </c>
      <c r="F253" s="1004">
        <v>1.1499999999999999</v>
      </c>
      <c r="G253" s="1004">
        <v>-1.3</v>
      </c>
      <c r="H253" s="1004">
        <v>-2</v>
      </c>
      <c r="I253" s="1004">
        <v>-0.7</v>
      </c>
      <c r="J253" s="1004">
        <v>-1</v>
      </c>
      <c r="K253" s="1004">
        <v>-0.55000000000000004</v>
      </c>
      <c r="L253" s="1004">
        <v>-0.8</v>
      </c>
      <c r="M253" s="1005" t="s">
        <v>641</v>
      </c>
      <c r="N253" s="1006" t="s">
        <v>641</v>
      </c>
      <c r="O253" s="1006" t="s">
        <v>641</v>
      </c>
      <c r="P253" s="1007" t="s">
        <v>641</v>
      </c>
      <c r="R253" s="98"/>
      <c r="S253" s="142"/>
      <c r="T253" s="142"/>
      <c r="U253" s="142"/>
      <c r="V253" s="142"/>
      <c r="W253" s="142"/>
      <c r="X253" s="142"/>
      <c r="Y253" s="142"/>
      <c r="Z253" s="142"/>
      <c r="AA253" s="142"/>
    </row>
    <row r="254" spans="2:28" ht="15.75" hidden="1" customHeight="1" thickBot="1" x14ac:dyDescent="0.4">
      <c r="C254" s="1008" t="s">
        <v>381</v>
      </c>
      <c r="D254" s="1009" t="str">
        <f>AU156</f>
        <v xml:space="preserve"> 20°</v>
      </c>
      <c r="E254" s="1010">
        <v>1</v>
      </c>
      <c r="F254" s="1010">
        <v>1.5</v>
      </c>
      <c r="G254" s="1010">
        <v>-1.3</v>
      </c>
      <c r="H254" s="1010">
        <v>-2</v>
      </c>
      <c r="I254" s="1010">
        <v>-0.9</v>
      </c>
      <c r="J254" s="1010">
        <v>-1.3</v>
      </c>
      <c r="K254" s="1010">
        <v>-0.8</v>
      </c>
      <c r="L254" s="1010">
        <v>-1.2</v>
      </c>
      <c r="M254" s="1011" t="s">
        <v>641</v>
      </c>
      <c r="N254" s="1012" t="s">
        <v>641</v>
      </c>
      <c r="O254" s="1012" t="s">
        <v>641</v>
      </c>
      <c r="P254" s="1013" t="s">
        <v>641</v>
      </c>
      <c r="R254" s="98"/>
    </row>
    <row r="255" spans="2:28" ht="15.75" hidden="1" customHeight="1" thickBot="1" x14ac:dyDescent="0.4">
      <c r="C255" s="1002" t="s">
        <v>381</v>
      </c>
      <c r="D255" s="1003" t="str">
        <f>AV156</f>
        <v xml:space="preserve"> 30° to 45°</v>
      </c>
      <c r="E255" s="1004">
        <v>1.05</v>
      </c>
      <c r="F255" s="1004">
        <v>1.3</v>
      </c>
      <c r="G255" s="1004">
        <v>0.4</v>
      </c>
      <c r="H255" s="1004">
        <v>0.5</v>
      </c>
      <c r="I255" s="1004">
        <v>-0.8</v>
      </c>
      <c r="J255" s="1004">
        <v>-1</v>
      </c>
      <c r="K255" s="1004">
        <v>-0.7</v>
      </c>
      <c r="L255" s="1004">
        <v>-0.9</v>
      </c>
      <c r="M255" s="1005" t="s">
        <v>641</v>
      </c>
      <c r="N255" s="1006" t="s">
        <v>641</v>
      </c>
      <c r="O255" s="1006" t="s">
        <v>641</v>
      </c>
      <c r="P255" s="1007" t="s">
        <v>641</v>
      </c>
      <c r="R255" s="98"/>
      <c r="S255" s="142"/>
      <c r="T255" s="142"/>
      <c r="U255" s="142"/>
      <c r="V255" s="142"/>
      <c r="W255" s="142"/>
    </row>
    <row r="256" spans="2:28" ht="15.75" hidden="1" customHeight="1" thickBot="1" x14ac:dyDescent="0.4">
      <c r="C256" s="1008" t="s">
        <v>381</v>
      </c>
      <c r="D256" s="1009" t="str">
        <f>AW156</f>
        <v xml:space="preserve"> 90°</v>
      </c>
      <c r="E256" s="1010">
        <v>1.05</v>
      </c>
      <c r="F256" s="1010">
        <v>1.3</v>
      </c>
      <c r="G256" s="1010">
        <v>1.05</v>
      </c>
      <c r="H256" s="1010">
        <v>1.3</v>
      </c>
      <c r="I256" s="1010">
        <v>-0.7</v>
      </c>
      <c r="J256" s="1010">
        <v>-0.9</v>
      </c>
      <c r="K256" s="1010">
        <v>-0.7</v>
      </c>
      <c r="L256" s="1010">
        <v>-0.9</v>
      </c>
      <c r="M256" s="1011" t="s">
        <v>641</v>
      </c>
      <c r="N256" s="1012" t="s">
        <v>641</v>
      </c>
      <c r="O256" s="1012" t="s">
        <v>641</v>
      </c>
      <c r="P256" s="1013" t="s">
        <v>641</v>
      </c>
      <c r="R256" s="98"/>
      <c r="T256" s="48"/>
      <c r="V256" s="6"/>
    </row>
    <row r="257" spans="2:55" ht="15.75" hidden="1" customHeight="1" x14ac:dyDescent="0.35">
      <c r="C257" s="1014" t="s">
        <v>550</v>
      </c>
      <c r="D257" s="1015" t="str">
        <f>AX156</f>
        <v xml:space="preserve"> 0° to 90°</v>
      </c>
      <c r="E257" s="1016">
        <v>-0.85</v>
      </c>
      <c r="F257" s="1016">
        <v>-0.9</v>
      </c>
      <c r="G257" s="1016">
        <v>-1.3</v>
      </c>
      <c r="H257" s="1016">
        <v>-2</v>
      </c>
      <c r="I257" s="1016">
        <v>-0.7</v>
      </c>
      <c r="J257" s="1016">
        <v>-1</v>
      </c>
      <c r="K257" s="1016">
        <v>-0.85</v>
      </c>
      <c r="L257" s="1016">
        <v>-0.9</v>
      </c>
      <c r="M257" s="1015">
        <v>0.75</v>
      </c>
      <c r="N257" s="1016">
        <v>1.1499999999999999</v>
      </c>
      <c r="O257" s="1016">
        <v>-0.55000000000000004</v>
      </c>
      <c r="P257" s="1017">
        <v>-0.8</v>
      </c>
      <c r="R257" s="98"/>
    </row>
    <row r="258" spans="2:55" ht="15.75" hidden="1" customHeight="1" thickBot="1" x14ac:dyDescent="0.35">
      <c r="R258" s="98"/>
    </row>
    <row r="259" spans="2:55" ht="15.65" hidden="1" customHeight="1" thickBot="1" x14ac:dyDescent="0.4">
      <c r="C259" s="70"/>
      <c r="F259" s="1"/>
      <c r="G259" s="112"/>
      <c r="H259" s="112"/>
      <c r="I259" s="112"/>
      <c r="J259" s="112"/>
      <c r="K259" s="112"/>
      <c r="L259" s="7"/>
      <c r="M259" s="7"/>
      <c r="N259" s="122"/>
      <c r="O259" s="7"/>
      <c r="P259" s="7"/>
      <c r="R259" s="98"/>
      <c r="X259" s="142"/>
      <c r="Y259" s="142"/>
      <c r="Z259" s="142"/>
      <c r="AA259" s="142"/>
      <c r="AI259" s="3"/>
      <c r="BC259" s="113"/>
    </row>
    <row r="260" spans="2:55" ht="15.65" hidden="1" customHeight="1" thickBot="1" x14ac:dyDescent="0.35">
      <c r="E260" s="142"/>
      <c r="F260" s="160"/>
      <c r="G260" s="161"/>
      <c r="H260" s="142"/>
      <c r="I260" s="142"/>
      <c r="J260" s="147"/>
      <c r="K260" s="147"/>
      <c r="L260" s="147"/>
      <c r="M260" s="147"/>
      <c r="N260" s="162"/>
      <c r="O260" s="147"/>
      <c r="P260" s="147"/>
      <c r="Q260" s="147"/>
      <c r="R260" s="163"/>
      <c r="X260" s="142"/>
      <c r="Y260" s="142"/>
      <c r="Z260" s="142"/>
      <c r="AA260" s="142"/>
      <c r="AI260" s="3"/>
      <c r="BC260" s="113"/>
    </row>
    <row r="261" spans="2:55" ht="15.65" hidden="1" customHeight="1" thickBot="1" x14ac:dyDescent="0.4">
      <c r="D261" s="1114" t="s">
        <v>633</v>
      </c>
      <c r="E261" s="1115"/>
      <c r="F261" s="166" t="s">
        <v>381</v>
      </c>
      <c r="G261" s="142"/>
      <c r="H261" s="142"/>
      <c r="I261" s="147"/>
      <c r="K261" s="164"/>
      <c r="L261" s="166" t="s">
        <v>550</v>
      </c>
      <c r="M261" s="147"/>
      <c r="N261" s="2"/>
      <c r="O261" s="163"/>
      <c r="R261" s="142"/>
      <c r="S261" s="142"/>
      <c r="T261" s="142"/>
      <c r="U261" s="142"/>
      <c r="V261" s="142"/>
      <c r="W261" s="142"/>
      <c r="X261" s="142"/>
      <c r="Y261" s="142"/>
      <c r="Z261" s="142"/>
      <c r="AA261" s="142"/>
      <c r="AI261" s="3"/>
      <c r="BC261" s="113"/>
    </row>
    <row r="262" spans="2:55" ht="15.75" hidden="1" customHeight="1" thickBot="1" x14ac:dyDescent="0.4">
      <c r="D262" s="1114" t="s">
        <v>634</v>
      </c>
      <c r="E262" s="1115"/>
      <c r="F262" s="146" t="s">
        <v>554</v>
      </c>
      <c r="G262" s="171" t="s">
        <v>642</v>
      </c>
      <c r="H262" s="334" t="s">
        <v>643</v>
      </c>
      <c r="I262" s="647">
        <f t="array" ref="I262">INDEX($E$253:$P$257,
       SUMPRODUCT(($C$253:$C$257=$F$261)*($D$253:$D$257=$F$262)*ROW($C$253:$C$257))-ROW($C$253)+1,
       MATCH($F$263&amp;"", $E$252:$P$252&amp;"", 0))</f>
        <v>-0.55000000000000004</v>
      </c>
      <c r="K262" s="147"/>
      <c r="L262" s="169" t="s">
        <v>558</v>
      </c>
      <c r="M262" s="171" t="s">
        <v>642</v>
      </c>
      <c r="N262" s="646" t="s">
        <v>644</v>
      </c>
      <c r="O262" s="648">
        <f t="array" ref="O262">INDEX($E$253:$P$257,
       SUMPRODUCT(($C$253:$C$257=$L$261)*($D$253:$D$257=$L$262)*ROW($C$253:$C$257))-ROW($C$253)+1,
       MATCH($L$263&amp;"",$E$252:$P$252&amp;"",0))</f>
        <v>-0.7</v>
      </c>
      <c r="S262" s="147"/>
      <c r="T262" s="142"/>
      <c r="U262" s="142"/>
      <c r="V262" s="142"/>
      <c r="W262" s="142"/>
      <c r="X262" s="142"/>
      <c r="Y262" s="142"/>
      <c r="Z262" s="142"/>
      <c r="AA262" s="142"/>
      <c r="AB262" s="142"/>
      <c r="BC262" s="114"/>
    </row>
    <row r="263" spans="2:55" ht="15.75" hidden="1" customHeight="1" thickBot="1" x14ac:dyDescent="0.4">
      <c r="D263" s="1116" t="s">
        <v>645</v>
      </c>
      <c r="E263" s="1115"/>
      <c r="F263" s="167" t="s">
        <v>638</v>
      </c>
      <c r="G263" s="171"/>
      <c r="H263" s="172"/>
      <c r="I263" s="330"/>
      <c r="J263" s="142"/>
      <c r="K263" s="142"/>
      <c r="L263" s="146" t="s">
        <v>637</v>
      </c>
      <c r="M263" s="171"/>
      <c r="N263" s="141"/>
      <c r="O263" s="331"/>
      <c r="R263" s="142"/>
      <c r="S263" s="147"/>
      <c r="T263" s="142"/>
      <c r="U263" s="142"/>
      <c r="V263" s="142"/>
      <c r="W263" s="142"/>
      <c r="X263" s="142"/>
      <c r="Y263" s="142"/>
      <c r="Z263" s="142"/>
      <c r="AA263" s="142"/>
      <c r="AB263" s="142"/>
      <c r="BC263" s="115"/>
    </row>
    <row r="264" spans="2:55" ht="15.75" hidden="1" customHeight="1" thickBot="1" x14ac:dyDescent="0.4">
      <c r="B264" s="52"/>
      <c r="D264" s="3"/>
      <c r="E264" s="170"/>
      <c r="F264" s="148"/>
      <c r="G264" s="171"/>
      <c r="H264" s="172"/>
      <c r="I264" s="332"/>
      <c r="L264" s="147"/>
      <c r="M264" s="171"/>
      <c r="N264" s="141"/>
      <c r="O264" s="331"/>
      <c r="S264" s="147"/>
      <c r="T264" s="142"/>
      <c r="U264" s="142"/>
      <c r="V264" s="142"/>
      <c r="W264" s="142"/>
      <c r="X264" s="142"/>
      <c r="Y264" s="142"/>
      <c r="Z264" s="142"/>
      <c r="AA264" s="142"/>
      <c r="AB264" s="142"/>
      <c r="BC264" s="115"/>
    </row>
    <row r="265" spans="2:55" ht="15.75" hidden="1" customHeight="1" thickBot="1" x14ac:dyDescent="0.35">
      <c r="B265" s="52"/>
      <c r="F265" s="166" t="s">
        <v>381</v>
      </c>
      <c r="G265" s="171"/>
      <c r="H265" s="172"/>
      <c r="I265" s="330"/>
      <c r="L265" s="545" t="s">
        <v>550</v>
      </c>
      <c r="M265" s="171"/>
      <c r="N265" s="141"/>
      <c r="O265" s="331"/>
      <c r="S265" s="147"/>
      <c r="T265" s="142"/>
      <c r="U265" s="142"/>
      <c r="V265" s="142"/>
      <c r="W265" s="142"/>
      <c r="X265" s="142"/>
      <c r="Y265" s="142"/>
      <c r="Z265" s="142"/>
      <c r="AA265" s="142"/>
      <c r="AB265" s="142"/>
      <c r="BC265" s="115"/>
    </row>
    <row r="266" spans="2:55" ht="20.25" hidden="1" customHeight="1" thickBot="1" x14ac:dyDescent="0.4">
      <c r="B266" s="52"/>
      <c r="F266" s="146" t="s">
        <v>555</v>
      </c>
      <c r="G266" s="171" t="s">
        <v>646</v>
      </c>
      <c r="H266" s="334" t="s">
        <v>647</v>
      </c>
      <c r="I266" s="647">
        <f t="array" ref="I266">INDEX($E$253:$P$257,
SUMPRODUCT(($C$253:$C$257=F265)*($D$253:$D$257=F266)*ROW($C$253:$C$257))-ROW($C$253)+1,
MATCH($F$267&amp;"",$E$252:$P$252&amp;"",0))</f>
        <v>-0.8</v>
      </c>
      <c r="K266" s="142"/>
      <c r="L266" s="546" t="s">
        <v>558</v>
      </c>
      <c r="M266" s="171" t="s">
        <v>646</v>
      </c>
      <c r="N266" s="646" t="s">
        <v>648</v>
      </c>
      <c r="O266" s="648">
        <f t="array" ref="O266">INDEX($E$253:$P$257,
       SUMPRODUCT(($C$253:$C$257=$L$265)*($D$253:$D$257=$L$266)*ROW($C$253:$C$257))-ROW($C$253)+1,
       MATCH($L$267&amp;"",$E$252:$P$252&amp;"",0))</f>
        <v>0.75</v>
      </c>
      <c r="S266" s="147"/>
      <c r="T266" s="142"/>
      <c r="U266" s="142"/>
      <c r="V266" s="142"/>
      <c r="W266" s="142"/>
      <c r="X266" s="142"/>
      <c r="Y266" s="142"/>
      <c r="Z266" s="142"/>
      <c r="AA266" s="142"/>
      <c r="AB266" s="142"/>
      <c r="BC266" s="115"/>
    </row>
    <row r="267" spans="2:55" ht="15.75" hidden="1" customHeight="1" thickBot="1" x14ac:dyDescent="0.35">
      <c r="B267" s="52"/>
      <c r="F267" s="167" t="s">
        <v>638</v>
      </c>
      <c r="G267" s="142"/>
      <c r="H267" s="142"/>
      <c r="I267" s="331"/>
      <c r="K267" s="165"/>
      <c r="L267" s="547" t="s">
        <v>639</v>
      </c>
      <c r="M267" s="142"/>
      <c r="N267" s="2"/>
      <c r="O267" s="163"/>
      <c r="S267" s="147"/>
      <c r="T267" s="142"/>
      <c r="U267" s="142"/>
      <c r="V267" s="142"/>
      <c r="W267" s="142"/>
      <c r="X267" s="142"/>
      <c r="Y267" s="142"/>
      <c r="Z267" s="142"/>
      <c r="AA267" s="142"/>
      <c r="AB267" s="142"/>
      <c r="BC267" s="115"/>
    </row>
    <row r="268" spans="2:55" ht="15.75" hidden="1" customHeight="1" thickBot="1" x14ac:dyDescent="0.35">
      <c r="B268" s="52"/>
      <c r="F268" s="148"/>
      <c r="G268" s="142"/>
      <c r="H268" s="142"/>
      <c r="I268" s="142"/>
      <c r="K268" s="165"/>
      <c r="L268" s="148"/>
      <c r="M268" s="142"/>
      <c r="N268" s="2"/>
      <c r="O268" s="163"/>
      <c r="S268" s="147"/>
      <c r="T268" s="142"/>
      <c r="U268" s="142"/>
      <c r="V268" s="142"/>
      <c r="W268" s="142"/>
      <c r="X268" s="142"/>
      <c r="Y268" s="142"/>
      <c r="Z268" s="142"/>
      <c r="AA268" s="142"/>
      <c r="AB268" s="142"/>
      <c r="BC268" s="115"/>
    </row>
    <row r="269" spans="2:55" ht="15.75" hidden="1" customHeight="1" thickBot="1" x14ac:dyDescent="0.4">
      <c r="B269" s="52"/>
      <c r="F269" s="149" t="s">
        <v>649</v>
      </c>
      <c r="G269" s="168" t="s">
        <v>650</v>
      </c>
      <c r="H269" s="340">
        <f>I262 + (I266 - I262) * ((G249 - 5) / (20 - 5))</f>
        <v>-0.46666666666666673</v>
      </c>
      <c r="I269" s="142"/>
      <c r="K269" s="165"/>
      <c r="L269" s="174" t="s">
        <v>649</v>
      </c>
      <c r="M269" s="175" t="s">
        <v>650</v>
      </c>
      <c r="N269" s="339">
        <f>O262 + (O266 - O262) * ((G249 - 5) / (20 - 5))</f>
        <v>-1.1833333333333331</v>
      </c>
      <c r="O269" s="163"/>
      <c r="R269" s="147"/>
      <c r="S269" s="147"/>
      <c r="T269" s="142"/>
      <c r="U269" s="142"/>
      <c r="V269" s="142"/>
      <c r="W269" s="142"/>
      <c r="X269" s="142"/>
      <c r="Y269" s="142"/>
      <c r="Z269" s="142"/>
      <c r="AA269" s="142"/>
      <c r="AB269" s="142"/>
      <c r="BC269" s="115"/>
    </row>
    <row r="270" spans="2:55" ht="15.75" hidden="1" customHeight="1" thickBot="1" x14ac:dyDescent="0.35">
      <c r="B270" s="102"/>
      <c r="C270" s="103"/>
      <c r="D270" s="103"/>
      <c r="E270" s="165"/>
      <c r="F270" s="177" t="s">
        <v>651</v>
      </c>
      <c r="G270" s="177"/>
      <c r="H270" s="162"/>
      <c r="K270" s="142"/>
      <c r="L270" s="176" t="s">
        <v>651</v>
      </c>
      <c r="M270" s="176"/>
      <c r="N270" s="176"/>
      <c r="O270" s="163"/>
      <c r="R270" s="163"/>
      <c r="S270" s="7"/>
      <c r="AP270" s="2"/>
      <c r="BC270" s="115"/>
    </row>
    <row r="271" spans="2:55" ht="15.65" hidden="1" customHeight="1" x14ac:dyDescent="0.3">
      <c r="B271" s="102"/>
      <c r="C271" s="103"/>
      <c r="D271" s="103"/>
      <c r="E271" s="165"/>
      <c r="F271" s="177"/>
      <c r="G271" s="177"/>
      <c r="H271" s="162"/>
      <c r="K271" s="142"/>
      <c r="L271" s="176"/>
      <c r="M271" s="176"/>
      <c r="N271" s="176"/>
      <c r="O271" s="163"/>
      <c r="R271" s="163"/>
      <c r="S271" s="7"/>
      <c r="AO271" s="92"/>
    </row>
    <row r="272" spans="2:55" ht="15.65" hidden="1" customHeight="1" x14ac:dyDescent="0.3">
      <c r="B272" s="102"/>
      <c r="C272" s="103"/>
      <c r="D272" s="103"/>
      <c r="E272" s="165"/>
      <c r="F272" s="177"/>
      <c r="G272" s="177"/>
      <c r="H272" s="162"/>
      <c r="K272" s="142"/>
      <c r="L272" s="176"/>
      <c r="M272" s="176"/>
      <c r="N272" s="176"/>
      <c r="O272" s="163"/>
      <c r="R272" s="163"/>
      <c r="S272" s="7"/>
    </row>
    <row r="273" spans="2:50" ht="15.65" hidden="1" customHeight="1" x14ac:dyDescent="0.3">
      <c r="B273" s="102"/>
      <c r="C273" s="103"/>
      <c r="D273" s="103"/>
      <c r="E273" s="165"/>
      <c r="F273" s="177"/>
      <c r="G273" s="177"/>
      <c r="H273" s="162"/>
      <c r="K273" s="142"/>
      <c r="L273" s="176"/>
      <c r="M273" s="176"/>
      <c r="N273" s="176"/>
      <c r="O273" s="163"/>
      <c r="R273" s="163"/>
    </row>
    <row r="274" spans="2:50" ht="15.65" hidden="1" customHeight="1" x14ac:dyDescent="0.3">
      <c r="B274" s="102"/>
      <c r="C274" s="103"/>
      <c r="D274" s="103"/>
      <c r="F274" s="428" t="s">
        <v>652</v>
      </c>
      <c r="G274" s="542" t="s">
        <v>653</v>
      </c>
      <c r="H274" s="543" t="e">
        <f>L120*L132*L315*L174</f>
        <v>#VALUE!</v>
      </c>
      <c r="I274" s="406" t="s">
        <v>654</v>
      </c>
      <c r="K274" s="422"/>
      <c r="L274" s="73" t="s">
        <v>655</v>
      </c>
      <c r="M274" s="418" t="s">
        <v>656</v>
      </c>
      <c r="N274" s="544" t="e">
        <f>L120*L132*L315*L174</f>
        <v>#VALUE!</v>
      </c>
      <c r="O274" s="427" t="s">
        <v>657</v>
      </c>
      <c r="P274" s="426"/>
      <c r="R274" s="163"/>
      <c r="S274" s="7"/>
      <c r="AS274" s="349"/>
      <c r="AT274" s="349"/>
      <c r="AU274" s="349"/>
      <c r="AV274" s="349"/>
      <c r="AW274" s="349"/>
      <c r="AX274" s="349"/>
    </row>
    <row r="275" spans="2:50" ht="15.65" hidden="1" customHeight="1" x14ac:dyDescent="0.3">
      <c r="B275" s="102"/>
      <c r="C275" s="103"/>
      <c r="D275" s="103"/>
      <c r="E275" s="405"/>
      <c r="G275" s="413" t="s">
        <v>422</v>
      </c>
      <c r="H275" s="405" t="e">
        <f>H274*H269</f>
        <v>#VALUE!</v>
      </c>
      <c r="I275" s="412" t="s">
        <v>366</v>
      </c>
      <c r="K275" s="419"/>
      <c r="L275" s="419"/>
      <c r="M275" s="425" t="s">
        <v>422</v>
      </c>
      <c r="N275" s="405" t="e">
        <f>N274*N269</f>
        <v>#VALUE!</v>
      </c>
      <c r="O275" s="412" t="s">
        <v>658</v>
      </c>
      <c r="P275" s="405"/>
      <c r="R275" s="163"/>
      <c r="S275" s="7"/>
      <c r="AS275" s="349"/>
      <c r="AT275" s="349"/>
      <c r="AU275" s="349"/>
      <c r="AV275" s="349"/>
      <c r="AW275" s="349"/>
      <c r="AX275" s="349"/>
    </row>
    <row r="276" spans="2:50" ht="15.75" hidden="1" customHeight="1" x14ac:dyDescent="0.35">
      <c r="B276" s="102"/>
      <c r="C276" s="103"/>
      <c r="D276" s="103"/>
      <c r="E276" s="405"/>
      <c r="F276" s="405"/>
      <c r="G276" s="405"/>
      <c r="I276" s="405"/>
      <c r="J276" s="405"/>
      <c r="K276" s="405"/>
      <c r="L276" s="405"/>
      <c r="M276" s="414"/>
      <c r="N276" s="415"/>
      <c r="O276" s="416"/>
      <c r="P276" s="405"/>
      <c r="R276" s="163"/>
      <c r="AQ276" s="349"/>
      <c r="AR276" s="349"/>
      <c r="AS276" s="349"/>
      <c r="AT276" s="349"/>
      <c r="AU276" s="349"/>
      <c r="AV276" s="349"/>
      <c r="AW276" s="349"/>
      <c r="AX276" s="349"/>
    </row>
    <row r="277" spans="2:50" ht="15.75" hidden="1" customHeight="1" x14ac:dyDescent="0.35">
      <c r="B277" s="102"/>
      <c r="C277" s="103"/>
      <c r="D277" s="103"/>
      <c r="E277" s="1018"/>
      <c r="F277" s="1018"/>
      <c r="G277" s="1018"/>
      <c r="I277" s="1018"/>
      <c r="J277" s="1018"/>
      <c r="K277" s="1018"/>
      <c r="L277" s="1018"/>
      <c r="M277" s="1019"/>
      <c r="N277" s="1020"/>
      <c r="O277" s="1021"/>
      <c r="P277" s="1018"/>
      <c r="R277" s="163"/>
      <c r="AQ277" s="349"/>
      <c r="AR277" s="349"/>
      <c r="AS277" s="349"/>
      <c r="AT277" s="349"/>
      <c r="AU277" s="349"/>
      <c r="AV277" s="349"/>
      <c r="AW277" s="349"/>
      <c r="AX277" s="349"/>
    </row>
    <row r="278" spans="2:50" ht="15.75" hidden="1" customHeight="1" x14ac:dyDescent="0.3">
      <c r="R278" s="98"/>
    </row>
    <row r="279" spans="2:50" ht="15.75" hidden="1" customHeight="1" x14ac:dyDescent="0.35">
      <c r="C279" s="70" t="s">
        <v>661</v>
      </c>
      <c r="R279" s="98"/>
    </row>
    <row r="280" spans="2:50" ht="15.75" hidden="1" customHeight="1" x14ac:dyDescent="0.3"/>
    <row r="281" spans="2:50" ht="15.75" hidden="1" customHeight="1" x14ac:dyDescent="0.45">
      <c r="C281" s="48"/>
      <c r="D281" s="424" t="s">
        <v>653</v>
      </c>
      <c r="E281" s="423" t="s">
        <v>662</v>
      </c>
      <c r="G281" s="3"/>
      <c r="Q281" s="98"/>
      <c r="R281" s="48"/>
    </row>
    <row r="282" spans="2:50" ht="15.75" hidden="1" customHeight="1" x14ac:dyDescent="0.35">
      <c r="C282" s="48"/>
      <c r="D282" s="180"/>
      <c r="E282" s="181"/>
      <c r="G282" s="3"/>
      <c r="Q282" s="98"/>
      <c r="R282" s="48"/>
    </row>
    <row r="283" spans="2:50" ht="15.75" hidden="1" customHeight="1" x14ac:dyDescent="0.35">
      <c r="C283" s="48"/>
      <c r="D283" s="180"/>
      <c r="E283" s="181"/>
      <c r="G283" s="3"/>
      <c r="Q283" s="98"/>
      <c r="R283" s="48"/>
    </row>
    <row r="284" spans="2:50" ht="15.75" hidden="1" customHeight="1" x14ac:dyDescent="0.35">
      <c r="D284" s="143"/>
      <c r="E284" s="183"/>
      <c r="F284" s="49"/>
      <c r="G284" s="49"/>
      <c r="H284" s="49"/>
      <c r="I284" s="49"/>
      <c r="J284" s="49"/>
      <c r="K284" s="49"/>
      <c r="L284" s="49"/>
      <c r="M284" s="49"/>
      <c r="Q284" s="98"/>
    </row>
    <row r="285" spans="2:50" ht="15.75" hidden="1" customHeight="1" x14ac:dyDescent="0.35">
      <c r="C285" s="346" t="s">
        <v>663</v>
      </c>
      <c r="D285" s="347"/>
      <c r="E285" s="347"/>
      <c r="F285" s="348"/>
      <c r="G285" s="27"/>
      <c r="N285" s="2"/>
    </row>
    <row r="286" spans="2:50" ht="15.75" hidden="1" customHeight="1" x14ac:dyDescent="0.35">
      <c r="D286" s="42"/>
      <c r="E286" s="42"/>
      <c r="G286" s="27"/>
    </row>
    <row r="287" spans="2:50" ht="15.75" hidden="1" customHeight="1" x14ac:dyDescent="0.35">
      <c r="D287" s="143"/>
      <c r="E287" s="345"/>
      <c r="F287" s="49"/>
      <c r="G287" s="104"/>
      <c r="H287" s="104"/>
      <c r="I287" s="104"/>
      <c r="J287" s="104"/>
      <c r="K287" s="104"/>
      <c r="L287" s="49"/>
    </row>
    <row r="288" spans="2:50" ht="15.75" hidden="1" customHeight="1" x14ac:dyDescent="0.35">
      <c r="D288" s="143"/>
      <c r="E288" s="345"/>
      <c r="F288" s="182"/>
      <c r="G288" s="104"/>
      <c r="H288" s="104"/>
      <c r="I288" s="104"/>
      <c r="J288" s="104"/>
      <c r="K288" s="49"/>
      <c r="L288" s="3"/>
    </row>
    <row r="289" spans="3:23" ht="15.75" hidden="1" customHeight="1" x14ac:dyDescent="0.35">
      <c r="D289" s="143"/>
      <c r="E289" s="345"/>
      <c r="F289" s="49"/>
      <c r="G289" s="104"/>
      <c r="H289" s="49"/>
      <c r="I289" s="49"/>
      <c r="J289" s="49"/>
      <c r="K289" s="49"/>
      <c r="L289" s="49"/>
    </row>
    <row r="290" spans="3:23" ht="15.75" hidden="1" customHeight="1" x14ac:dyDescent="0.35">
      <c r="C290" s="346" t="s">
        <v>664</v>
      </c>
      <c r="D290" s="347"/>
      <c r="E290" s="347"/>
      <c r="F290" s="348"/>
      <c r="T290" s="48"/>
      <c r="V290" s="6"/>
      <c r="W290" s="6"/>
    </row>
    <row r="291" spans="3:23" ht="15.75" hidden="1" customHeight="1" x14ac:dyDescent="0.35">
      <c r="T291" s="48"/>
      <c r="V291" s="6"/>
      <c r="W291" s="6"/>
    </row>
    <row r="292" spans="3:23" ht="15.75" hidden="1" customHeight="1" x14ac:dyDescent="0.35">
      <c r="T292" s="48"/>
      <c r="V292" s="6"/>
      <c r="W292" s="6"/>
    </row>
    <row r="293" spans="3:23" ht="15.75" hidden="1" customHeight="1" x14ac:dyDescent="0.35">
      <c r="C293" s="344"/>
      <c r="D293" s="44"/>
      <c r="E293" s="40"/>
      <c r="G293" s="3"/>
      <c r="T293" s="48"/>
      <c r="V293" s="6"/>
      <c r="W293" s="6"/>
    </row>
    <row r="294" spans="3:23" ht="15.75" hidden="1" customHeight="1" x14ac:dyDescent="0.35">
      <c r="C294" s="346" t="s">
        <v>665</v>
      </c>
      <c r="D294" s="347"/>
      <c r="E294" s="347"/>
      <c r="F294" s="348"/>
      <c r="M294" s="49"/>
      <c r="N294" s="128"/>
      <c r="T294" s="48"/>
      <c r="V294" s="6"/>
      <c r="W294" s="6"/>
    </row>
    <row r="295" spans="3:23" ht="15.75" hidden="1" customHeight="1" x14ac:dyDescent="0.35">
      <c r="N295" s="2"/>
      <c r="T295" s="48"/>
      <c r="V295" s="6"/>
      <c r="W295" s="6"/>
    </row>
    <row r="296" spans="3:23" ht="15.75" hidden="1" customHeight="1" x14ac:dyDescent="0.35">
      <c r="N296" s="2"/>
      <c r="T296" s="48"/>
      <c r="V296" s="6"/>
      <c r="W296" s="6"/>
    </row>
    <row r="297" spans="3:23" ht="15.75" hidden="1" customHeight="1" x14ac:dyDescent="0.35">
      <c r="N297" s="2"/>
      <c r="T297" s="48"/>
      <c r="V297" s="6"/>
      <c r="W297" s="6"/>
    </row>
    <row r="298" spans="3:23" ht="15.75" hidden="1" customHeight="1" x14ac:dyDescent="0.35">
      <c r="C298" s="346" t="s">
        <v>666</v>
      </c>
      <c r="D298" s="347"/>
      <c r="E298" s="347"/>
      <c r="F298" s="348"/>
      <c r="N298" s="2"/>
      <c r="Q298" s="98"/>
      <c r="T298" s="48"/>
      <c r="V298" s="6"/>
      <c r="W298" s="6"/>
    </row>
    <row r="299" spans="3:23" ht="15.75" hidden="1" customHeight="1" x14ac:dyDescent="0.35">
      <c r="H299" s="48"/>
      <c r="J299" s="6"/>
      <c r="K299" s="6"/>
      <c r="N299" s="2"/>
      <c r="T299" s="48"/>
      <c r="V299" s="6"/>
      <c r="W299" s="6"/>
    </row>
    <row r="300" spans="3:23" ht="15.75" hidden="1" customHeight="1" x14ac:dyDescent="0.35">
      <c r="E300" s="98"/>
      <c r="H300" s="48"/>
      <c r="J300" s="6"/>
      <c r="K300" s="6"/>
      <c r="N300" s="2"/>
      <c r="T300" s="48"/>
      <c r="V300" s="6"/>
      <c r="W300" s="6"/>
    </row>
    <row r="301" spans="3:23" ht="15.75" hidden="1" customHeight="1" x14ac:dyDescent="0.35">
      <c r="N301" s="2"/>
      <c r="T301" s="48"/>
      <c r="V301" s="6"/>
      <c r="W301" s="6"/>
    </row>
    <row r="302" spans="3:23" ht="15.75" hidden="1" customHeight="1" x14ac:dyDescent="0.35">
      <c r="N302" s="2"/>
      <c r="T302" s="48"/>
      <c r="V302" s="6"/>
      <c r="W302" s="6"/>
    </row>
    <row r="303" spans="3:23" ht="15.75" hidden="1" customHeight="1" x14ac:dyDescent="0.35">
      <c r="N303" s="2"/>
      <c r="T303" s="48"/>
      <c r="V303" s="6"/>
      <c r="W303" s="6"/>
    </row>
    <row r="304" spans="3:23" ht="15.75" hidden="1" customHeight="1" x14ac:dyDescent="0.35">
      <c r="E304" s="98"/>
      <c r="H304" s="48"/>
      <c r="J304" s="6"/>
      <c r="K304" s="6"/>
      <c r="N304" s="2"/>
      <c r="T304" s="48"/>
      <c r="V304" s="6"/>
      <c r="W304" s="6"/>
    </row>
    <row r="305" spans="2:24" ht="15" customHeight="1" x14ac:dyDescent="0.35">
      <c r="E305" s="98"/>
      <c r="H305" s="48"/>
      <c r="J305" s="6"/>
      <c r="K305" s="6"/>
      <c r="N305" s="2"/>
    </row>
    <row r="306" spans="2:24" ht="15.75" customHeight="1" thickBot="1" x14ac:dyDescent="0.4">
      <c r="C306" s="52" t="s">
        <v>679</v>
      </c>
      <c r="D306" s="101"/>
      <c r="E306" s="52"/>
      <c r="Q306" s="98"/>
      <c r="T306" s="48"/>
      <c r="V306" s="6"/>
      <c r="W306" s="6"/>
    </row>
    <row r="307" spans="2:24" ht="15.75" customHeight="1" thickBot="1" x14ac:dyDescent="0.4">
      <c r="B307" s="52" t="s">
        <v>466</v>
      </c>
      <c r="C307" s="2" t="s">
        <v>680</v>
      </c>
      <c r="D307" s="554"/>
      <c r="E307" s="555"/>
      <c r="F307" s="1111" t="s">
        <v>681</v>
      </c>
      <c r="G307" s="1110"/>
      <c r="H307" s="557"/>
      <c r="I307" s="354" t="b">
        <f>IF(D138&gt;20, TRUE, FALSE)</f>
        <v>0</v>
      </c>
      <c r="Q307" s="98"/>
      <c r="T307" s="48"/>
      <c r="V307" s="6"/>
      <c r="W307" s="6"/>
    </row>
    <row r="308" spans="2:24" ht="15.75" customHeight="1" x14ac:dyDescent="0.35">
      <c r="C308" s="52"/>
      <c r="D308" s="101"/>
      <c r="E308" s="52"/>
      <c r="F308" s="44"/>
      <c r="G308" s="130"/>
      <c r="H308" s="131"/>
      <c r="Q308" s="98"/>
      <c r="T308" s="48"/>
      <c r="V308" s="6"/>
      <c r="W308" s="6"/>
    </row>
    <row r="309" spans="2:24" ht="15.75" customHeight="1" x14ac:dyDescent="0.35">
      <c r="C309" s="131" t="s">
        <v>682</v>
      </c>
      <c r="D309" s="556"/>
      <c r="E309" s="356"/>
      <c r="G309" s="148" t="e">
        <f>#REF!/2</f>
        <v>#REF!</v>
      </c>
      <c r="H309" s="333" t="s">
        <v>683</v>
      </c>
      <c r="Q309" s="98"/>
      <c r="T309" s="48"/>
      <c r="V309" s="6"/>
      <c r="W309" s="6"/>
    </row>
    <row r="310" spans="2:24" ht="15.75" customHeight="1" x14ac:dyDescent="0.35">
      <c r="C310" s="52"/>
      <c r="D310" s="101"/>
      <c r="E310" s="52"/>
      <c r="F310" s="44"/>
      <c r="G310" s="130"/>
      <c r="H310" s="131"/>
      <c r="Q310" s="98"/>
      <c r="T310" s="48"/>
      <c r="V310" s="38"/>
      <c r="W310" s="38"/>
      <c r="X310" s="38"/>
    </row>
    <row r="311" spans="2:24" ht="15.75" customHeight="1" thickBot="1" x14ac:dyDescent="0.4">
      <c r="C311" s="52"/>
      <c r="D311" s="101"/>
      <c r="Q311" s="98"/>
      <c r="T311" s="48"/>
      <c r="V311" s="38"/>
      <c r="W311" s="38"/>
      <c r="X311" s="38"/>
    </row>
    <row r="312" spans="2:24" ht="15.75" customHeight="1" thickBot="1" x14ac:dyDescent="0.4">
      <c r="C312" s="52"/>
      <c r="D312" s="152" t="s">
        <v>684</v>
      </c>
      <c r="E312" s="153"/>
      <c r="F312" s="151"/>
      <c r="I312" s="355" t="str">
        <f>IF(I307 = FALSE, "N/A", VLOOKUP(#REF!,AI135:AO136,7,FALSE))</f>
        <v>N/A</v>
      </c>
      <c r="Q312" s="98"/>
      <c r="T312" s="48"/>
      <c r="V312" s="38"/>
      <c r="W312" s="38"/>
      <c r="X312" s="38"/>
    </row>
    <row r="313" spans="2:24" ht="15.75" customHeight="1" x14ac:dyDescent="0.35">
      <c r="C313" s="52"/>
      <c r="D313" s="101"/>
      <c r="E313" s="52"/>
      <c r="F313" s="44"/>
      <c r="G313" s="130"/>
      <c r="H313" s="131"/>
      <c r="Q313" s="98"/>
      <c r="T313" s="48"/>
      <c r="V313" s="38"/>
      <c r="W313" s="38"/>
      <c r="X313" s="38"/>
    </row>
    <row r="314" spans="2:24" ht="18" customHeight="1" thickBot="1" x14ac:dyDescent="0.4">
      <c r="C314" s="272"/>
      <c r="D314" s="271"/>
      <c r="E314" s="271"/>
      <c r="Q314" s="98"/>
      <c r="T314" s="48"/>
      <c r="V314" s="38"/>
      <c r="W314" s="38"/>
      <c r="X314" s="38"/>
    </row>
    <row r="315" spans="2:24" ht="15.75" customHeight="1" thickBot="1" x14ac:dyDescent="0.4">
      <c r="C315" s="376" t="s">
        <v>470</v>
      </c>
      <c r="D315" s="377" t="s">
        <v>685</v>
      </c>
      <c r="E315" s="378"/>
      <c r="F315" s="30"/>
      <c r="G315" s="30"/>
      <c r="H315" s="131"/>
      <c r="I315" s="354" t="b">
        <f>IF(D138 &gt;= 6, TRUE, FALSE)</f>
        <v>0</v>
      </c>
      <c r="K315" s="357" t="s">
        <v>686</v>
      </c>
      <c r="L315" s="352" t="str">
        <f>IF(I315 = FALSE, "N/A", VLOOKUP(#REF!,AI135:AO136,7,FALSE))</f>
        <v>N/A</v>
      </c>
      <c r="Q315" s="98"/>
      <c r="T315" s="48"/>
      <c r="V315" s="38"/>
      <c r="W315" s="38"/>
      <c r="X315" s="38"/>
    </row>
    <row r="316" spans="2:24" ht="15.75" customHeight="1" x14ac:dyDescent="0.35">
      <c r="C316" s="376"/>
      <c r="D316" s="379"/>
      <c r="E316" s="376"/>
      <c r="H316" s="131"/>
      <c r="Q316" s="98"/>
      <c r="T316" s="48"/>
      <c r="V316" s="38"/>
      <c r="W316" s="38"/>
      <c r="X316" s="38"/>
    </row>
    <row r="317" spans="2:24" ht="15.75" customHeight="1" x14ac:dyDescent="0.35">
      <c r="C317" s="376"/>
      <c r="D317" s="379"/>
      <c r="E317" s="378"/>
      <c r="Q317" s="98"/>
      <c r="T317" s="48"/>
      <c r="V317" s="38"/>
      <c r="W317" s="38"/>
      <c r="X317" s="38"/>
    </row>
    <row r="318" spans="2:24" ht="15.75" customHeight="1" x14ac:dyDescent="0.35">
      <c r="D318" s="27" t="s">
        <v>687</v>
      </c>
      <c r="O318" s="48"/>
      <c r="Q318" s="98"/>
      <c r="T318" s="48"/>
      <c r="V318" s="38"/>
      <c r="W318" s="38"/>
      <c r="X318" s="38"/>
    </row>
    <row r="319" spans="2:24" ht="15.75" customHeight="1" x14ac:dyDescent="0.35">
      <c r="D319" s="27"/>
      <c r="O319" s="48"/>
      <c r="Q319" s="98"/>
      <c r="T319" s="48"/>
      <c r="V319" s="38"/>
      <c r="W319" s="38"/>
      <c r="X319" s="38"/>
    </row>
    <row r="320" spans="2:24" ht="18.75" customHeight="1" x14ac:dyDescent="0.35">
      <c r="D320" s="27"/>
      <c r="O320" s="48"/>
      <c r="Q320" s="98"/>
      <c r="T320" s="48"/>
      <c r="V320" s="38"/>
      <c r="W320" s="38"/>
      <c r="X320" s="38"/>
    </row>
    <row r="321" spans="3:24" ht="15.75" customHeight="1" thickBot="1" x14ac:dyDescent="0.4">
      <c r="C321" s="52" t="s">
        <v>688</v>
      </c>
      <c r="D321" s="52"/>
      <c r="E321" s="52"/>
      <c r="F321" s="52"/>
      <c r="O321" s="48"/>
      <c r="Q321" s="98"/>
      <c r="T321" s="48"/>
      <c r="V321" s="38"/>
      <c r="W321" s="38"/>
      <c r="X321" s="38"/>
    </row>
    <row r="322" spans="3:24" ht="15.75" customHeight="1" thickBot="1" x14ac:dyDescent="0.4">
      <c r="C322" s="52" t="s">
        <v>689</v>
      </c>
      <c r="D322" s="27"/>
      <c r="E322" s="27"/>
      <c r="F322" s="27"/>
      <c r="K322" s="312" t="s">
        <v>690</v>
      </c>
      <c r="L322" s="351">
        <v>2</v>
      </c>
      <c r="O322" s="48"/>
      <c r="Q322" s="98"/>
      <c r="T322" s="48"/>
      <c r="V322" s="38"/>
      <c r="W322" s="38"/>
      <c r="X322" s="38"/>
    </row>
    <row r="323" spans="3:24" ht="15.75" customHeight="1" x14ac:dyDescent="0.35">
      <c r="C323" s="70"/>
      <c r="D323" s="104"/>
      <c r="E323" s="158"/>
      <c r="F323" s="159"/>
      <c r="I323" s="143"/>
      <c r="J323" s="141"/>
      <c r="O323" s="48"/>
      <c r="Q323" s="98"/>
      <c r="T323" s="48"/>
      <c r="V323" s="38"/>
      <c r="W323" s="38"/>
      <c r="X323" s="38"/>
    </row>
    <row r="324" spans="3:24" ht="15.75" customHeight="1" thickBot="1" x14ac:dyDescent="0.4">
      <c r="C324" s="70"/>
      <c r="D324" s="104"/>
      <c r="E324" s="158"/>
      <c r="F324" s="159"/>
      <c r="I324" s="143"/>
      <c r="J324" s="141"/>
      <c r="O324" s="48"/>
      <c r="Q324" s="98"/>
      <c r="T324" s="48"/>
      <c r="V324" s="38"/>
      <c r="W324" s="38"/>
      <c r="X324" s="38"/>
    </row>
    <row r="325" spans="3:24" ht="15.75" customHeight="1" thickBot="1" x14ac:dyDescent="0.45">
      <c r="C325" s="2" t="s">
        <v>691</v>
      </c>
      <c r="K325" s="359" t="s">
        <v>692</v>
      </c>
      <c r="L325" s="350">
        <f>G328</f>
        <v>1.2022545997974778</v>
      </c>
      <c r="O325" s="48"/>
      <c r="Q325" s="98"/>
      <c r="T325" s="48"/>
      <c r="V325" s="38"/>
      <c r="W325" s="38"/>
      <c r="X325" s="38"/>
    </row>
    <row r="326" spans="3:24" ht="15.75" customHeight="1" x14ac:dyDescent="0.35">
      <c r="O326" s="48"/>
      <c r="Q326" s="98"/>
      <c r="T326" s="48"/>
      <c r="V326" s="38"/>
      <c r="W326" s="38"/>
      <c r="X326" s="38"/>
    </row>
    <row r="327" spans="3:24" ht="15.75" customHeight="1" x14ac:dyDescent="0.35">
      <c r="O327" s="48"/>
      <c r="Q327" s="98"/>
      <c r="T327" s="48"/>
      <c r="V327" s="38"/>
      <c r="W327" s="38"/>
      <c r="X327" s="38"/>
    </row>
    <row r="328" spans="3:24" ht="15.75" customHeight="1" x14ac:dyDescent="0.35">
      <c r="E328" s="341" t="s">
        <v>690</v>
      </c>
      <c r="F328" s="47" t="s">
        <v>591</v>
      </c>
      <c r="G328" s="42">
        <f>1 + (1/SQRT(1 + (F331/(6.95*F332))))</f>
        <v>1.2022545997974778</v>
      </c>
      <c r="O328" s="48"/>
      <c r="Q328" s="98"/>
      <c r="T328" s="48"/>
      <c r="V328" s="38"/>
      <c r="W328" s="38"/>
      <c r="X328" s="38"/>
    </row>
    <row r="329" spans="3:24" ht="15.75" customHeight="1" x14ac:dyDescent="0.35">
      <c r="O329" s="48"/>
      <c r="Q329" s="98"/>
      <c r="T329" s="48"/>
      <c r="V329" s="38"/>
      <c r="W329" s="38"/>
      <c r="X329" s="38"/>
    </row>
    <row r="330" spans="3:24" ht="15.75" customHeight="1" x14ac:dyDescent="0.35">
      <c r="O330" s="48"/>
      <c r="Q330" s="98"/>
      <c r="T330" s="48"/>
      <c r="V330" s="38"/>
      <c r="W330" s="38"/>
      <c r="X330" s="38"/>
    </row>
    <row r="331" spans="3:24" ht="15.75" customHeight="1" x14ac:dyDescent="0.35">
      <c r="E331" s="44" t="s">
        <v>693</v>
      </c>
      <c r="F331" s="42">
        <f>35.62*17.591*11.44+0.5*(35.62*17.591*2.907)</f>
        <v>8078.9564737700002</v>
      </c>
      <c r="G331" s="91" t="s">
        <v>694</v>
      </c>
      <c r="H331" s="48"/>
      <c r="O331" s="48"/>
      <c r="Q331" s="98"/>
      <c r="T331" s="48"/>
      <c r="V331" s="38"/>
      <c r="W331" s="38"/>
      <c r="X331" s="38"/>
    </row>
    <row r="332" spans="3:24" ht="15.75" customHeight="1" x14ac:dyDescent="0.35">
      <c r="C332" s="27"/>
      <c r="E332" s="44" t="s">
        <v>695</v>
      </c>
      <c r="F332" s="42">
        <v>49.58</v>
      </c>
      <c r="G332" s="91" t="s">
        <v>696</v>
      </c>
      <c r="O332" s="48"/>
      <c r="Q332" s="98"/>
      <c r="T332" s="48"/>
      <c r="V332" s="38"/>
      <c r="W332" s="38"/>
      <c r="X332" s="38"/>
    </row>
    <row r="333" spans="3:24" ht="15.75" customHeight="1" x14ac:dyDescent="0.35">
      <c r="D333" s="27"/>
      <c r="O333" s="48"/>
      <c r="Q333" s="98"/>
      <c r="T333" s="48"/>
      <c r="V333" s="38"/>
      <c r="W333" s="38"/>
      <c r="X333" s="38"/>
    </row>
    <row r="334" spans="3:24" ht="15.75" customHeight="1" x14ac:dyDescent="0.35">
      <c r="D334" s="27"/>
      <c r="O334" s="48"/>
      <c r="Q334" s="98"/>
      <c r="T334" s="48"/>
      <c r="V334" s="38"/>
      <c r="W334" s="38"/>
      <c r="X334" s="38"/>
    </row>
    <row r="335" spans="3:24" ht="15.75" customHeight="1" x14ac:dyDescent="0.35">
      <c r="D335" s="27"/>
      <c r="O335" s="48"/>
      <c r="Q335" s="98"/>
      <c r="T335" s="48"/>
      <c r="V335" s="38"/>
      <c r="W335" s="38"/>
      <c r="X335" s="38"/>
    </row>
    <row r="336" spans="3:24" ht="15.75" customHeight="1" x14ac:dyDescent="0.35">
      <c r="C336" s="52" t="s">
        <v>697</v>
      </c>
      <c r="D336" s="27"/>
      <c r="O336" s="48"/>
      <c r="Q336" s="98"/>
      <c r="T336" s="48"/>
      <c r="V336" s="38"/>
      <c r="W336" s="38"/>
      <c r="X336" s="38"/>
    </row>
    <row r="337" spans="1:50" ht="15.75" customHeight="1" x14ac:dyDescent="0.35">
      <c r="C337" s="1105" t="s">
        <v>698</v>
      </c>
      <c r="D337" s="1098"/>
      <c r="E337" s="1098"/>
      <c r="O337" s="48"/>
      <c r="Q337" s="98"/>
      <c r="T337" s="48"/>
      <c r="V337" s="38"/>
      <c r="W337" s="38"/>
      <c r="X337" s="38"/>
    </row>
    <row r="338" spans="1:50" ht="15.75" customHeight="1" x14ac:dyDescent="0.35">
      <c r="D338" s="27"/>
      <c r="O338" s="48"/>
      <c r="Q338" s="98"/>
      <c r="T338" s="48"/>
      <c r="V338" s="38"/>
      <c r="W338" s="38"/>
      <c r="X338" s="38"/>
    </row>
    <row r="339" spans="1:50" ht="15.75" customHeight="1" x14ac:dyDescent="0.35">
      <c r="C339" s="49" t="s">
        <v>699</v>
      </c>
      <c r="E339" s="27"/>
      <c r="O339" s="48"/>
      <c r="Q339" s="98"/>
      <c r="T339" s="48"/>
      <c r="V339" s="38"/>
      <c r="W339" s="38"/>
      <c r="X339" s="38"/>
    </row>
    <row r="340" spans="1:50" ht="18.75" customHeight="1" x14ac:dyDescent="0.35">
      <c r="D340" s="27"/>
      <c r="O340" s="48"/>
      <c r="Q340" s="98"/>
      <c r="T340" s="48"/>
      <c r="V340" s="38"/>
      <c r="W340" s="38"/>
      <c r="X340" s="38"/>
    </row>
    <row r="341" spans="1:50" ht="20.25" customHeight="1" x14ac:dyDescent="0.35">
      <c r="C341" s="2" t="s">
        <v>466</v>
      </c>
      <c r="D341" s="27" t="s">
        <v>700</v>
      </c>
      <c r="K341" s="1112" t="s">
        <v>701</v>
      </c>
      <c r="L341" s="1113"/>
      <c r="O341" s="48"/>
      <c r="Q341" s="98"/>
      <c r="T341" s="48"/>
      <c r="V341" s="38"/>
      <c r="W341" s="38"/>
      <c r="X341" s="38"/>
    </row>
    <row r="342" spans="1:50" ht="15.75" customHeight="1" x14ac:dyDescent="0.35">
      <c r="D342" s="27"/>
      <c r="J342" s="363"/>
      <c r="K342" s="382"/>
      <c r="L342" s="382"/>
      <c r="M342" s="364"/>
      <c r="O342" s="48"/>
      <c r="Q342" s="98"/>
      <c r="T342" s="48"/>
      <c r="V342" s="38"/>
      <c r="W342" s="38"/>
      <c r="X342" s="38"/>
    </row>
    <row r="343" spans="1:50" ht="15.75" customHeight="1" x14ac:dyDescent="0.35">
      <c r="C343" s="2" t="s">
        <v>470</v>
      </c>
      <c r="D343" s="27" t="s">
        <v>702</v>
      </c>
      <c r="K343" s="1112" t="s">
        <v>703</v>
      </c>
      <c r="L343" s="1113"/>
      <c r="O343" s="48"/>
      <c r="Q343" s="98"/>
      <c r="T343" s="48"/>
      <c r="V343" s="38"/>
      <c r="W343" s="38"/>
      <c r="X343" s="38"/>
    </row>
    <row r="344" spans="1:50" ht="15.75" customHeight="1" x14ac:dyDescent="0.35">
      <c r="D344" s="27"/>
      <c r="J344" s="363"/>
      <c r="K344" s="382"/>
      <c r="L344" s="382"/>
      <c r="M344" s="364"/>
      <c r="O344" s="48"/>
      <c r="Q344" s="98"/>
      <c r="T344" s="48"/>
      <c r="V344" s="38"/>
      <c r="W344" s="38"/>
      <c r="X344" s="38"/>
    </row>
    <row r="345" spans="1:50" ht="15.75" customHeight="1" x14ac:dyDescent="0.35">
      <c r="C345" s="2" t="s">
        <v>475</v>
      </c>
      <c r="D345" s="27" t="s">
        <v>704</v>
      </c>
      <c r="K345" s="1112" t="s">
        <v>705</v>
      </c>
      <c r="L345" s="1113"/>
      <c r="Q345" s="98"/>
      <c r="T345" s="48"/>
      <c r="V345" s="38"/>
      <c r="W345" s="38"/>
      <c r="X345" s="38"/>
    </row>
    <row r="346" spans="1:50" ht="15.75" customHeight="1" x14ac:dyDescent="0.35">
      <c r="D346" s="27"/>
      <c r="K346" s="189"/>
      <c r="L346" s="189"/>
      <c r="O346" s="48"/>
      <c r="Q346" s="98"/>
      <c r="T346" s="48"/>
      <c r="V346" s="38"/>
      <c r="W346" s="38"/>
      <c r="X346" s="38"/>
    </row>
    <row r="347" spans="1:50" ht="15.75" customHeight="1" thickBot="1" x14ac:dyDescent="0.4">
      <c r="C347" s="188"/>
      <c r="I347" s="3"/>
      <c r="K347" s="383"/>
      <c r="L347" s="383"/>
      <c r="O347" s="48"/>
      <c r="Q347" s="98"/>
      <c r="T347" s="48"/>
      <c r="V347" s="38"/>
      <c r="W347" s="38"/>
      <c r="X347" s="38"/>
    </row>
    <row r="348" spans="1:50" ht="15.75" customHeight="1" thickBot="1" x14ac:dyDescent="0.4">
      <c r="K348" s="367" t="s">
        <v>706</v>
      </c>
      <c r="L348" s="365">
        <v>-0.7</v>
      </c>
      <c r="O348" s="48"/>
      <c r="Q348" s="98"/>
      <c r="T348" s="48"/>
      <c r="V348" s="38"/>
      <c r="W348" s="38"/>
      <c r="X348" s="38"/>
    </row>
    <row r="349" spans="1:50" ht="15.75" customHeight="1" thickBot="1" x14ac:dyDescent="0.4">
      <c r="K349" s="368" t="s">
        <v>706</v>
      </c>
      <c r="L349" s="366">
        <v>0.7</v>
      </c>
      <c r="O349" s="48"/>
      <c r="Q349" s="98"/>
      <c r="T349" s="48"/>
      <c r="V349" s="38"/>
      <c r="W349" s="38"/>
      <c r="X349" s="38"/>
    </row>
    <row r="350" spans="1:50" ht="15.75" customHeight="1" x14ac:dyDescent="0.35">
      <c r="K350" s="173"/>
      <c r="L350" s="173"/>
      <c r="O350" s="48"/>
      <c r="Q350" s="98"/>
      <c r="X350" s="38"/>
      <c r="AS350" s="28"/>
      <c r="AT350" s="28"/>
      <c r="AU350" s="28"/>
      <c r="AV350" s="28"/>
      <c r="AW350" s="28"/>
      <c r="AX350" s="28"/>
    </row>
    <row r="351" spans="1:50" ht="20.25" customHeight="1" x14ac:dyDescent="0.35">
      <c r="C351" s="144"/>
      <c r="D351" s="104"/>
      <c r="E351" s="104"/>
      <c r="F351" s="104"/>
      <c r="G351" s="104"/>
      <c r="H351" s="104"/>
      <c r="I351" s="104"/>
      <c r="J351" s="187"/>
      <c r="K351" s="185"/>
      <c r="L351" s="27"/>
      <c r="O351" s="48"/>
      <c r="Q351" s="98"/>
      <c r="S351" s="1058"/>
      <c r="T351" s="1058"/>
      <c r="U351" s="1059"/>
      <c r="V351" s="1058"/>
      <c r="W351" s="1060"/>
      <c r="X351" s="38"/>
    </row>
    <row r="352" spans="1:50" s="28" customFormat="1" ht="19" customHeight="1" x14ac:dyDescent="0.4">
      <c r="A352" s="2"/>
      <c r="C352" s="154" t="s">
        <v>707</v>
      </c>
      <c r="D352" s="269"/>
      <c r="E352" s="269"/>
      <c r="F352" s="372"/>
      <c r="G352" s="2"/>
      <c r="H352" s="2"/>
      <c r="I352" s="2"/>
      <c r="J352" s="187"/>
      <c r="K352" s="2"/>
      <c r="L352" s="27"/>
      <c r="M352" s="2"/>
      <c r="N352" s="30"/>
      <c r="O352" s="48"/>
      <c r="P352" s="2"/>
      <c r="Q352" s="98"/>
      <c r="R352" s="2"/>
      <c r="S352" s="384"/>
      <c r="T352" s="384"/>
      <c r="U352" s="1061"/>
      <c r="V352" s="384"/>
      <c r="W352" s="1062"/>
      <c r="X352" s="387"/>
      <c r="AS352" s="2"/>
      <c r="AT352" s="2"/>
      <c r="AU352" s="2"/>
      <c r="AV352" s="2"/>
      <c r="AW352" s="2"/>
      <c r="AX352" s="2"/>
    </row>
    <row r="353" spans="1:50" ht="23.5" customHeight="1" x14ac:dyDescent="0.35">
      <c r="C353" s="104"/>
      <c r="D353" s="49"/>
      <c r="E353" s="49"/>
      <c r="F353" s="49"/>
      <c r="G353" s="49"/>
      <c r="H353" s="49"/>
      <c r="I353" s="49"/>
      <c r="J353" s="187"/>
      <c r="L353" s="27"/>
      <c r="O353" s="48"/>
      <c r="Q353" s="98"/>
      <c r="S353" s="1063"/>
      <c r="T353" s="1063"/>
      <c r="U353" s="1063"/>
      <c r="V353" s="1063"/>
      <c r="W353" s="1063"/>
      <c r="X353" s="38"/>
      <c r="AS353" s="28"/>
      <c r="AT353" s="28"/>
      <c r="AU353" s="28"/>
      <c r="AV353" s="28"/>
      <c r="AW353" s="28"/>
      <c r="AX353" s="28"/>
    </row>
    <row r="354" spans="1:50" ht="15" customHeight="1" x14ac:dyDescent="0.35">
      <c r="C354" s="370"/>
      <c r="D354" s="202" t="s">
        <v>708</v>
      </c>
      <c r="E354" s="204" t="s">
        <v>709</v>
      </c>
      <c r="F354" s="104"/>
      <c r="J354" s="187"/>
      <c r="L354" s="27"/>
      <c r="O354" s="48"/>
      <c r="Q354" s="98"/>
      <c r="S354" s="1063"/>
      <c r="T354" s="1063"/>
      <c r="U354" s="1063"/>
      <c r="V354" s="1063"/>
      <c r="W354" s="1063"/>
      <c r="X354" s="38"/>
    </row>
    <row r="355" spans="1:50" s="28" customFormat="1" ht="17" customHeight="1" thickBot="1" x14ac:dyDescent="0.4">
      <c r="A355" s="2"/>
      <c r="C355" s="2"/>
      <c r="D355" s="381"/>
      <c r="E355" s="381"/>
      <c r="F355" s="194"/>
      <c r="G355" s="194"/>
      <c r="H355" s="104"/>
      <c r="I355" s="104"/>
      <c r="J355" s="187"/>
      <c r="K355" s="2"/>
      <c r="L355" s="27"/>
      <c r="M355" s="2"/>
      <c r="N355" s="30"/>
      <c r="O355" s="48"/>
      <c r="P355" s="2"/>
      <c r="Q355" s="98"/>
      <c r="R355" s="2"/>
      <c r="W355" s="387"/>
      <c r="X355" s="387"/>
      <c r="AS355" s="2"/>
      <c r="AT355" s="2"/>
      <c r="AU355" s="2"/>
      <c r="AV355" s="2"/>
      <c r="AW355" s="2"/>
      <c r="AX355" s="2"/>
    </row>
    <row r="356" spans="1:50" ht="15.75" customHeight="1" x14ac:dyDescent="0.35">
      <c r="C356" s="370"/>
      <c r="E356" s="388" t="s">
        <v>708</v>
      </c>
      <c r="F356" s="385" t="e">
        <f>L120*L132*L174*L315*L322*L348</f>
        <v>#VALUE!</v>
      </c>
      <c r="G356" s="1068" t="s">
        <v>710</v>
      </c>
      <c r="H356" s="1068"/>
      <c r="I356" s="1068"/>
      <c r="J356" s="1068"/>
      <c r="K356" s="1068"/>
      <c r="L356" s="1068"/>
      <c r="M356" s="1069"/>
      <c r="N356" s="1070"/>
      <c r="O356" s="1071"/>
      <c r="P356" s="1070"/>
      <c r="Q356" s="1070"/>
      <c r="R356" s="1072"/>
      <c r="S356" s="1065"/>
      <c r="T356" s="1066"/>
      <c r="U356" s="1065"/>
      <c r="V356" s="1067"/>
      <c r="W356" s="38"/>
      <c r="X356" s="38"/>
    </row>
    <row r="357" spans="1:50" ht="15.75" customHeight="1" x14ac:dyDescent="0.35">
      <c r="D357" s="28"/>
      <c r="E357" s="389" t="s">
        <v>708</v>
      </c>
      <c r="F357" s="386" t="e">
        <f>L120*L132*L174*L315*L322*L349</f>
        <v>#VALUE!</v>
      </c>
      <c r="G357" s="1073" t="s">
        <v>710</v>
      </c>
      <c r="H357" s="1073"/>
      <c r="I357" s="1073"/>
      <c r="J357" s="1073"/>
      <c r="K357" s="1073"/>
      <c r="L357" s="1073"/>
      <c r="M357" s="1074"/>
      <c r="N357" s="384"/>
      <c r="O357" s="1075"/>
      <c r="P357" s="384"/>
      <c r="Q357" s="1058"/>
      <c r="R357" s="1076"/>
      <c r="T357" s="48"/>
      <c r="V357" s="1077"/>
      <c r="W357" s="38"/>
      <c r="X357" s="38"/>
    </row>
    <row r="358" spans="1:50" ht="15.75" customHeight="1" x14ac:dyDescent="0.35">
      <c r="C358" s="28"/>
      <c r="E358" s="390" t="s">
        <v>708</v>
      </c>
      <c r="F358" s="386" t="e">
        <f>L120*L132*L174*L315*L325*L348</f>
        <v>#VALUE!</v>
      </c>
      <c r="G358" s="1078" t="s">
        <v>3362</v>
      </c>
      <c r="H358" s="36"/>
      <c r="I358" s="36"/>
      <c r="J358" s="36"/>
      <c r="K358" s="36"/>
      <c r="L358" s="36"/>
      <c r="M358" s="36"/>
      <c r="N358" s="36"/>
      <c r="O358" s="36"/>
      <c r="P358" s="36"/>
      <c r="Q358" s="36"/>
      <c r="R358" s="36"/>
      <c r="T358" s="48"/>
      <c r="V358" s="1077"/>
      <c r="W358" s="38"/>
      <c r="X358" s="38"/>
    </row>
    <row r="359" spans="1:50" ht="17" customHeight="1" thickBot="1" x14ac:dyDescent="0.35">
      <c r="E359" s="391" t="s">
        <v>708</v>
      </c>
      <c r="F359" s="1064" t="e">
        <f>L120*L132*L174*L315*L325*L349</f>
        <v>#VALUE!</v>
      </c>
      <c r="G359" s="1140" t="s">
        <v>712</v>
      </c>
      <c r="H359" s="1141"/>
      <c r="I359" s="1141"/>
      <c r="J359" s="1141"/>
      <c r="K359" s="1141"/>
      <c r="L359" s="1141"/>
      <c r="M359" s="1141"/>
      <c r="N359" s="1141"/>
      <c r="O359" s="1141"/>
      <c r="P359" s="1141"/>
      <c r="Q359" s="1141"/>
      <c r="R359" s="1141"/>
      <c r="S359" s="1079"/>
      <c r="T359" s="1079"/>
      <c r="U359" s="1079"/>
      <c r="V359" s="1080"/>
    </row>
    <row r="360" spans="1:50" ht="22.5" customHeight="1" x14ac:dyDescent="0.3">
      <c r="A360" s="28"/>
      <c r="B360" s="36"/>
    </row>
    <row r="361" spans="1:50" ht="15.75" customHeight="1" x14ac:dyDescent="0.3"/>
    <row r="362" spans="1:50" ht="15.75" customHeight="1" x14ac:dyDescent="0.35">
      <c r="C362" s="28"/>
      <c r="D362" s="28"/>
      <c r="T362" s="48"/>
      <c r="V362" s="38"/>
      <c r="W362" s="38"/>
      <c r="X362" s="38"/>
    </row>
    <row r="363" spans="1:50" ht="15.75" customHeight="1" x14ac:dyDescent="0.35">
      <c r="A363" s="28"/>
      <c r="B363" s="36"/>
      <c r="C363" s="28"/>
      <c r="D363" s="28"/>
      <c r="E363" s="28"/>
      <c r="F363" s="28"/>
      <c r="G363" s="28"/>
      <c r="H363" s="28"/>
      <c r="I363" s="28"/>
      <c r="J363" s="28"/>
      <c r="K363" s="28"/>
      <c r="L363" s="28"/>
      <c r="M363" s="28"/>
      <c r="N363" s="28"/>
      <c r="O363" s="28"/>
      <c r="P363" s="28"/>
      <c r="Q363" s="28"/>
      <c r="R363" s="28"/>
      <c r="T363" s="48"/>
      <c r="V363" s="38"/>
      <c r="W363" s="38"/>
      <c r="X363" s="38"/>
    </row>
    <row r="364" spans="1:50" ht="15.75" customHeight="1" x14ac:dyDescent="0.35">
      <c r="C364" s="190"/>
      <c r="D364" s="48"/>
      <c r="E364" s="222"/>
      <c r="F364" s="218"/>
      <c r="G364" s="219"/>
      <c r="H364" s="204"/>
      <c r="I364" s="203"/>
      <c r="O364" s="48"/>
      <c r="Q364" s="98"/>
    </row>
    <row r="365" spans="1:50" ht="15.75" customHeight="1" x14ac:dyDescent="0.35">
      <c r="C365" s="190"/>
      <c r="D365" s="48"/>
      <c r="E365" s="222"/>
      <c r="F365" s="218"/>
      <c r="G365" s="219"/>
      <c r="H365" s="204"/>
      <c r="I365" s="203"/>
      <c r="O365" s="48"/>
      <c r="Q365" s="98"/>
    </row>
    <row r="366" spans="1:50" ht="15.75" customHeight="1" x14ac:dyDescent="0.35">
      <c r="C366" s="190"/>
      <c r="D366" s="27"/>
      <c r="F366" s="216"/>
      <c r="G366" s="40"/>
      <c r="H366" s="3"/>
      <c r="O366" s="48"/>
      <c r="Q366" s="98"/>
    </row>
    <row r="367" spans="1:50" ht="15.75" customHeight="1" x14ac:dyDescent="0.35">
      <c r="C367" s="190"/>
      <c r="D367" s="27"/>
      <c r="G367" s="3"/>
      <c r="O367" s="48"/>
      <c r="Q367" s="98"/>
    </row>
    <row r="368" spans="1:50" ht="15.75" customHeight="1" x14ac:dyDescent="0.45">
      <c r="C368" s="677" t="s">
        <v>713</v>
      </c>
      <c r="F368" s="3"/>
      <c r="O368" s="48"/>
      <c r="Q368" s="98"/>
    </row>
    <row r="369" spans="3:51" ht="22.5" customHeight="1" x14ac:dyDescent="0.45">
      <c r="C369" s="677" t="s">
        <v>714</v>
      </c>
      <c r="F369" s="3"/>
      <c r="O369" s="48"/>
      <c r="Q369" s="98"/>
    </row>
    <row r="370" spans="3:51" ht="15.75" customHeight="1" x14ac:dyDescent="0.3">
      <c r="Q370" s="98"/>
    </row>
    <row r="371" spans="3:51" ht="15.75" customHeight="1" x14ac:dyDescent="0.4">
      <c r="C371" s="892" t="s">
        <v>715</v>
      </c>
      <c r="D371" s="296"/>
      <c r="I371" s="844"/>
      <c r="N371" s="2"/>
    </row>
    <row r="372" spans="3:51" ht="15.75" customHeight="1" thickBot="1" x14ac:dyDescent="0.45">
      <c r="C372" s="892"/>
      <c r="D372" s="296"/>
      <c r="I372" s="844"/>
      <c r="M372" s="897" t="s">
        <v>716</v>
      </c>
      <c r="N372" s="2"/>
    </row>
    <row r="373" spans="3:51" ht="15.75" customHeight="1" thickBot="1" x14ac:dyDescent="0.45">
      <c r="C373" s="948" t="s">
        <v>717</v>
      </c>
      <c r="D373" s="296"/>
      <c r="J373" s="930" t="s">
        <v>416</v>
      </c>
      <c r="M373" s="897" t="s">
        <v>718</v>
      </c>
      <c r="N373" s="2"/>
      <c r="P373" s="898"/>
    </row>
    <row r="374" spans="3:51" ht="15.75" customHeight="1" thickBot="1" x14ac:dyDescent="0.35">
      <c r="C374" s="872"/>
      <c r="D374" s="873"/>
      <c r="E374" s="873"/>
      <c r="F374" s="873"/>
      <c r="J374" s="931" t="s">
        <v>419</v>
      </c>
      <c r="M374" s="899"/>
      <c r="N374" s="2"/>
      <c r="P374" s="897"/>
    </row>
    <row r="375" spans="3:51" ht="15.75" customHeight="1" thickBot="1" x14ac:dyDescent="0.35">
      <c r="K375" s="920"/>
      <c r="M375" s="899"/>
      <c r="P375" s="897"/>
    </row>
    <row r="376" spans="3:51" ht="18.5" customHeight="1" thickBot="1" x14ac:dyDescent="0.45">
      <c r="C376" s="948" t="s">
        <v>719</v>
      </c>
      <c r="D376" s="948"/>
      <c r="E376" s="948"/>
      <c r="I376" s="932" t="s">
        <v>720</v>
      </c>
      <c r="J376" s="524" t="s">
        <v>422</v>
      </c>
      <c r="K376" s="525">
        <f>IF(J373="SLS","N/A",
IF(J373="ULS",
IF(J374="Low",0.8,
IF(J374="Normal",1,
IF(J374="High",1.3,
IF(J374="Post-Disaster",1.5,"")))),
""))</f>
        <v>1</v>
      </c>
      <c r="M376" s="899"/>
      <c r="P376" s="897"/>
    </row>
    <row r="377" spans="3:51" ht="15.75" customHeight="1" x14ac:dyDescent="0.3">
      <c r="M377" s="899"/>
      <c r="P377" s="897"/>
    </row>
    <row r="378" spans="3:51" ht="14.5" customHeight="1" thickBot="1" x14ac:dyDescent="0.35">
      <c r="L378" s="886"/>
      <c r="M378" s="899"/>
      <c r="N378" s="887"/>
      <c r="P378" s="897"/>
      <c r="AY378" s="68"/>
    </row>
    <row r="379" spans="3:51" ht="17.25" customHeight="1" thickBot="1" x14ac:dyDescent="0.4">
      <c r="C379" s="754" t="s">
        <v>406</v>
      </c>
      <c r="D379" s="753"/>
      <c r="E379" s="1093" t="s">
        <v>3352</v>
      </c>
      <c r="F379" s="1094"/>
      <c r="G379" s="142"/>
      <c r="H379" s="1097" t="str">
        <f t="array" ref="H379">GetCoordinatesOfficial(E379)</f>
        <v>57.1825744, -111.6378436</v>
      </c>
      <c r="I379" s="1098"/>
      <c r="J379" s="963"/>
      <c r="K379" s="964" t="str">
        <f t="array" ref="K379">RoundCoordinates(H379,2)</f>
        <v>57.18,-111.64</v>
      </c>
      <c r="L379" s="490"/>
      <c r="M379" s="899"/>
      <c r="N379" s="2"/>
      <c r="P379" s="897"/>
      <c r="R379" s="38"/>
    </row>
    <row r="380" spans="3:51" ht="17.25" customHeight="1" x14ac:dyDescent="0.3">
      <c r="C380" s="926" t="s">
        <v>721</v>
      </c>
      <c r="D380" s="925"/>
      <c r="E380" s="893"/>
      <c r="F380" s="893"/>
      <c r="G380" s="142"/>
      <c r="L380" s="490"/>
      <c r="M380" s="899"/>
      <c r="N380" s="2"/>
      <c r="P380" s="897"/>
      <c r="R380" s="38"/>
    </row>
    <row r="381" spans="3:51" ht="17.25" customHeight="1" x14ac:dyDescent="0.3">
      <c r="C381" s="926"/>
      <c r="D381" s="925"/>
      <c r="E381" s="893"/>
      <c r="F381" s="893"/>
      <c r="G381" s="142"/>
      <c r="L381" s="950"/>
      <c r="M381" s="899"/>
      <c r="N381" s="2"/>
      <c r="P381" s="897"/>
      <c r="R381" s="38"/>
    </row>
    <row r="382" spans="3:51" ht="16.5" customHeight="1" x14ac:dyDescent="0.35">
      <c r="C382" s="953" t="s">
        <v>409</v>
      </c>
      <c r="D382" s="917"/>
      <c r="E382" s="893"/>
      <c r="F382" s="893"/>
      <c r="G382" s="142"/>
      <c r="L382" s="141"/>
      <c r="M382" s="900"/>
      <c r="N382" s="2"/>
      <c r="P382" s="897"/>
      <c r="R382" s="38"/>
    </row>
    <row r="383" spans="3:51" ht="17.25" customHeight="1" thickBot="1" x14ac:dyDescent="0.4">
      <c r="C383" s="921"/>
      <c r="D383" s="917"/>
      <c r="E383" s="893"/>
      <c r="F383" s="893"/>
      <c r="G383" s="142"/>
      <c r="L383" s="141"/>
      <c r="M383" s="902"/>
      <c r="N383" s="2"/>
      <c r="P383" s="897"/>
      <c r="R383" s="38"/>
    </row>
    <row r="384" spans="3:51" ht="15.75" customHeight="1" thickBot="1" x14ac:dyDescent="0.4">
      <c r="C384" s="922" t="s">
        <v>410</v>
      </c>
      <c r="D384" s="923"/>
      <c r="E384" s="1096" t="s">
        <v>3363</v>
      </c>
      <c r="F384" s="1094"/>
      <c r="G384" s="26"/>
      <c r="H384" s="954"/>
      <c r="I384" s="954"/>
      <c r="J384" s="26"/>
      <c r="K384" s="955"/>
      <c r="L384" s="941"/>
      <c r="M384" s="902"/>
      <c r="N384" s="2"/>
      <c r="P384" s="901"/>
      <c r="S384" s="1087"/>
      <c r="T384" s="1088"/>
      <c r="U384" s="1088"/>
    </row>
    <row r="385" spans="3:51" ht="15.75" customHeight="1" x14ac:dyDescent="0.35">
      <c r="C385" s="922"/>
      <c r="D385" s="923"/>
      <c r="E385" s="221"/>
      <c r="H385" s="541"/>
      <c r="I385" s="929"/>
      <c r="K385" s="221"/>
      <c r="L385" s="141"/>
      <c r="M385" s="902"/>
      <c r="N385" s="2"/>
      <c r="P385" s="902"/>
      <c r="S385" s="38"/>
      <c r="T385" s="38"/>
      <c r="U385" s="38"/>
    </row>
    <row r="386" spans="3:51" ht="15.75" customHeight="1" x14ac:dyDescent="0.35">
      <c r="C386" s="918" t="s">
        <v>722</v>
      </c>
      <c r="D386" s="924"/>
      <c r="E386" s="94"/>
      <c r="I386" s="142"/>
      <c r="L386" s="951"/>
      <c r="M386" s="902"/>
      <c r="N386" s="2"/>
      <c r="P386" s="902"/>
      <c r="S386" s="952"/>
      <c r="T386" s="38"/>
      <c r="U386" s="38"/>
    </row>
    <row r="387" spans="3:51" ht="15.75" customHeight="1" x14ac:dyDescent="0.35">
      <c r="C387" s="918" t="s">
        <v>723</v>
      </c>
      <c r="D387" s="924"/>
      <c r="E387" s="94"/>
      <c r="I387" s="142"/>
      <c r="L387" s="490"/>
      <c r="M387" s="902"/>
      <c r="N387" s="2"/>
      <c r="P387" s="902"/>
      <c r="S387" s="38"/>
      <c r="T387" s="38"/>
      <c r="U387" s="38"/>
    </row>
    <row r="388" spans="3:51" ht="15.75" customHeight="1" x14ac:dyDescent="0.35">
      <c r="C388" s="918" t="s">
        <v>724</v>
      </c>
      <c r="D388" s="924"/>
      <c r="E388" s="94"/>
      <c r="J388" s="753" t="s">
        <v>725</v>
      </c>
      <c r="L388" s="490"/>
      <c r="M388" s="902"/>
      <c r="N388" s="2"/>
      <c r="P388" s="753" t="s">
        <v>726</v>
      </c>
      <c r="S388" s="38"/>
      <c r="T388" s="38"/>
      <c r="U388" s="38"/>
    </row>
    <row r="389" spans="3:51" ht="14.5" customHeight="1" x14ac:dyDescent="0.3">
      <c r="C389" s="895"/>
      <c r="D389" s="26"/>
      <c r="E389" s="896"/>
      <c r="F389" s="26"/>
      <c r="H389" s="863"/>
      <c r="M389" s="54" t="s">
        <v>727</v>
      </c>
      <c r="P389" s="898"/>
    </row>
    <row r="390" spans="3:51" ht="14.5" customHeight="1" x14ac:dyDescent="0.35">
      <c r="C390" s="448" t="s">
        <v>728</v>
      </c>
      <c r="D390" s="448"/>
      <c r="E390" s="448"/>
      <c r="F390" s="26"/>
      <c r="I390" s="30" t="s">
        <v>729</v>
      </c>
      <c r="J390" s="3" t="s">
        <v>422</v>
      </c>
      <c r="K390" s="874">
        <f t="array" ref="K390">NBCC2020_SPECTRUM_VALUE(K379, K397, "S(0.2)")</f>
        <v>0.107</v>
      </c>
      <c r="L390" s="874"/>
      <c r="M390" s="54"/>
      <c r="N390" s="2"/>
      <c r="O390" s="30" t="s">
        <v>729</v>
      </c>
      <c r="P390" s="3" t="s">
        <v>422</v>
      </c>
      <c r="Q390" s="874" t="e">
        <f t="array" ref="Q390">NBCC2020_SPECTRUM_VALUE(E384, K397, "S(0.2)")</f>
        <v>#N/A</v>
      </c>
      <c r="AY390" s="68"/>
    </row>
    <row r="391" spans="3:51" ht="15.75" customHeight="1" x14ac:dyDescent="0.35">
      <c r="C391" s="919" t="s">
        <v>730</v>
      </c>
      <c r="I391" s="30" t="s">
        <v>731</v>
      </c>
      <c r="J391" s="3" t="s">
        <v>422</v>
      </c>
      <c r="K391" s="874">
        <f t="array" ref="K391">NBCC2020_SPECTRUM_VALUE(K379, K397, "S(0.5)")</f>
        <v>0.10100000000000001</v>
      </c>
      <c r="L391" s="874"/>
      <c r="M391" s="54"/>
      <c r="N391" s="874"/>
      <c r="O391" s="30" t="s">
        <v>731</v>
      </c>
      <c r="P391" s="3" t="s">
        <v>422</v>
      </c>
      <c r="Q391" s="874" t="e">
        <f t="array" ref="Q391">NBCC2020_SPECTRUM_VALUE(E384, K397, "S(0.5)")</f>
        <v>#N/A</v>
      </c>
      <c r="AY391" s="37" t="s">
        <v>382</v>
      </c>
    </row>
    <row r="392" spans="3:51" ht="15.75" customHeight="1" x14ac:dyDescent="0.3">
      <c r="D392" s="890"/>
      <c r="I392" s="30" t="s">
        <v>732</v>
      </c>
      <c r="J392" s="3" t="s">
        <v>422</v>
      </c>
      <c r="K392" s="874">
        <f t="array" ref="K392">NBCC2020_SPECTRUM_VALUE(K379, K397, "S(1.0)")</f>
        <v>5.5599999999999997E-2</v>
      </c>
      <c r="L392" s="874"/>
      <c r="M392" s="54"/>
      <c r="N392" s="874"/>
      <c r="O392" s="30" t="s">
        <v>732</v>
      </c>
      <c r="P392" s="3" t="s">
        <v>422</v>
      </c>
      <c r="Q392" s="874" t="e">
        <f t="array" ref="Q392">NBCC2020_SPECTRUM_VALUE(E384, K397, "S(1.0)")</f>
        <v>#N/A</v>
      </c>
      <c r="T392" s="865"/>
      <c r="U392" s="865"/>
      <c r="V392" s="865"/>
      <c r="W392" s="865"/>
      <c r="X392" s="865"/>
      <c r="Y392" s="865"/>
      <c r="Z392" s="865"/>
      <c r="AA392" s="865"/>
      <c r="AB392" s="865"/>
      <c r="AC392" s="865"/>
      <c r="AD392" s="865"/>
      <c r="AE392" s="865"/>
      <c r="AF392" s="865"/>
      <c r="AG392" s="865"/>
      <c r="AH392" s="865"/>
      <c r="AY392" s="37" t="s">
        <v>383</v>
      </c>
    </row>
    <row r="393" spans="3:51" ht="15.75" customHeight="1" x14ac:dyDescent="0.3">
      <c r="G393" s="891"/>
      <c r="I393" s="30" t="s">
        <v>733</v>
      </c>
      <c r="J393" s="3" t="s">
        <v>422</v>
      </c>
      <c r="K393" s="874">
        <f t="array" ref="K393">NBCC2020_SPECTRUM_VALUE(K379, K397, "S(2.0)")</f>
        <v>2.4199999999999999E-2</v>
      </c>
      <c r="L393" s="874"/>
      <c r="M393" s="54"/>
      <c r="N393" s="874"/>
      <c r="O393" s="30" t="s">
        <v>733</v>
      </c>
      <c r="P393" s="3" t="s">
        <v>422</v>
      </c>
      <c r="Q393" s="874" t="e">
        <f t="array" ref="Q393">NBCC2020_SPECTRUM_VALUE(E384, K397, "S(2.0)")</f>
        <v>#N/A</v>
      </c>
      <c r="T393" s="865"/>
      <c r="U393" s="865"/>
      <c r="V393" s="865"/>
      <c r="W393" s="865"/>
      <c r="X393" s="865"/>
      <c r="Y393" s="865"/>
      <c r="Z393" s="865"/>
      <c r="AA393" s="865"/>
      <c r="AB393" s="865"/>
      <c r="AC393" s="865"/>
      <c r="AD393" s="865"/>
      <c r="AE393" s="865"/>
      <c r="AF393" s="865"/>
      <c r="AG393" s="865"/>
      <c r="AH393" s="865"/>
      <c r="AY393" s="37" t="s">
        <v>384</v>
      </c>
    </row>
    <row r="394" spans="3:51" ht="15.75" customHeight="1" x14ac:dyDescent="0.35">
      <c r="E394" s="883"/>
      <c r="F394" s="884"/>
      <c r="I394" s="30" t="s">
        <v>734</v>
      </c>
      <c r="J394" s="3" t="s">
        <v>422</v>
      </c>
      <c r="K394" s="874">
        <f t="array" ref="K394">NBCC2020_SPECTRUM_VALUE(K379, K397, "S(5.0)")</f>
        <v>5.3600000000000002E-3</v>
      </c>
      <c r="L394" s="874"/>
      <c r="M394" s="54"/>
      <c r="N394" s="874"/>
      <c r="O394" s="30" t="s">
        <v>734</v>
      </c>
      <c r="P394" s="3" t="s">
        <v>422</v>
      </c>
      <c r="Q394" s="874" t="e">
        <f t="array" ref="Q394">NBCC2020_SPECTRUM_VALUE(E384, K397, "S(5.0)")</f>
        <v>#N/A</v>
      </c>
      <c r="T394" s="1136"/>
      <c r="U394" s="1098"/>
      <c r="V394" s="1098"/>
      <c r="AY394" s="37" t="s">
        <v>385</v>
      </c>
    </row>
    <row r="395" spans="3:51" ht="15.75" customHeight="1" x14ac:dyDescent="0.35">
      <c r="C395" s="104"/>
      <c r="D395" s="104"/>
      <c r="E395" s="104"/>
      <c r="F395" s="104"/>
      <c r="I395" s="30" t="s">
        <v>735</v>
      </c>
      <c r="J395" s="3" t="s">
        <v>422</v>
      </c>
      <c r="K395" s="874">
        <f t="array" ref="K395">NBCC2020_SPECTRUM_VALUE(K379, K397, "S(10.0)")</f>
        <v>1.66E-3</v>
      </c>
      <c r="L395" s="874"/>
      <c r="M395" s="54"/>
      <c r="N395" s="874"/>
      <c r="O395" s="30" t="s">
        <v>735</v>
      </c>
      <c r="P395" s="3" t="s">
        <v>422</v>
      </c>
      <c r="Q395" s="874" t="e">
        <f t="array" ref="Q395">NBCC2020_SPECTRUM_VALUE(E384, K397, "S(10.0)")</f>
        <v>#N/A</v>
      </c>
      <c r="T395" s="1136"/>
      <c r="U395" s="1098"/>
      <c r="V395" s="1098"/>
      <c r="AY395" s="37" t="s">
        <v>386</v>
      </c>
    </row>
    <row r="396" spans="3:51" ht="15.75" customHeight="1" x14ac:dyDescent="0.35">
      <c r="C396" s="104" t="s">
        <v>736</v>
      </c>
      <c r="D396" s="104"/>
      <c r="E396" s="104"/>
      <c r="F396" s="104"/>
      <c r="I396" s="30" t="s">
        <v>737</v>
      </c>
      <c r="J396" s="3" t="s">
        <v>422</v>
      </c>
      <c r="K396" s="874">
        <f t="array" ref="K396">NBCC2020_SPECTRUM_VALUE(K379, K397, "PGA")</f>
        <v>6.2799999999999995E-2</v>
      </c>
      <c r="L396" s="874"/>
      <c r="M396" s="54" t="s">
        <v>738</v>
      </c>
      <c r="N396" s="874"/>
      <c r="O396" s="30" t="s">
        <v>737</v>
      </c>
      <c r="P396" s="3" t="s">
        <v>422</v>
      </c>
      <c r="Q396" s="874" t="e">
        <f t="array" ref="Q396">NBCC2020_SPECTRUM_VALUE(E384, K397, "PGA")</f>
        <v>#N/A</v>
      </c>
      <c r="T396" s="8"/>
      <c r="U396" s="8"/>
      <c r="V396" s="8"/>
      <c r="AY396" s="37" t="s">
        <v>387</v>
      </c>
    </row>
    <row r="397" spans="3:51" ht="16.5" customHeight="1" x14ac:dyDescent="0.35">
      <c r="C397" s="104" t="s">
        <v>739</v>
      </c>
      <c r="D397" s="104"/>
      <c r="E397" s="104"/>
      <c r="F397" s="104"/>
      <c r="I397" s="30" t="s">
        <v>740</v>
      </c>
      <c r="J397" s="3" t="s">
        <v>422</v>
      </c>
      <c r="K397" s="875" t="s">
        <v>741</v>
      </c>
      <c r="M397" s="54"/>
      <c r="N397" s="59"/>
      <c r="O397" s="30"/>
      <c r="P397" s="3"/>
      <c r="Q397" s="875"/>
      <c r="T397" s="8"/>
      <c r="U397" s="8"/>
      <c r="V397" s="8"/>
      <c r="AY397" s="37" t="s">
        <v>388</v>
      </c>
    </row>
    <row r="398" spans="3:51" ht="16.5" customHeight="1" x14ac:dyDescent="0.35">
      <c r="C398" s="104"/>
      <c r="D398" s="104"/>
      <c r="E398" s="104"/>
      <c r="F398" s="104"/>
      <c r="I398" s="927"/>
      <c r="J398" s="928"/>
      <c r="K398" s="933" t="str">
        <f t="array" ref="K398">GetVs30Range(K397)</f>
        <v>Stiff soil - Vs30 = 180–360 m/s</v>
      </c>
      <c r="L398" s="934"/>
      <c r="M398" s="54" t="s">
        <v>742</v>
      </c>
      <c r="N398" s="59"/>
      <c r="P398" s="54"/>
      <c r="Q398" s="54"/>
      <c r="T398" s="8"/>
      <c r="U398" s="8"/>
      <c r="V398" s="8"/>
      <c r="AY398" s="37"/>
    </row>
    <row r="399" spans="3:51" ht="16.5" customHeight="1" x14ac:dyDescent="0.35">
      <c r="C399" s="104"/>
      <c r="D399" s="104"/>
      <c r="E399" s="104"/>
      <c r="F399" s="104"/>
      <c r="I399" s="927"/>
      <c r="J399" s="928"/>
      <c r="K399" s="933"/>
      <c r="L399" s="934"/>
      <c r="M399" s="54"/>
      <c r="N399" s="59"/>
      <c r="P399" s="54"/>
      <c r="Q399" s="54"/>
      <c r="T399" s="8"/>
      <c r="U399" s="8"/>
      <c r="V399" s="8"/>
      <c r="AY399" s="37"/>
    </row>
    <row r="400" spans="3:51" ht="15.75" customHeight="1" x14ac:dyDescent="0.35">
      <c r="C400" s="104" t="s">
        <v>743</v>
      </c>
      <c r="D400" s="104"/>
      <c r="E400" s="104"/>
      <c r="F400" s="104"/>
      <c r="N400" s="59"/>
      <c r="P400" s="54"/>
      <c r="AY400" s="37" t="s">
        <v>389</v>
      </c>
    </row>
    <row r="401" spans="2:39" ht="15.75" customHeight="1" x14ac:dyDescent="0.35">
      <c r="C401" s="104" t="s">
        <v>744</v>
      </c>
      <c r="D401" s="104"/>
      <c r="E401" s="104"/>
      <c r="F401" s="104"/>
      <c r="M401" s="8"/>
      <c r="N401" s="8"/>
      <c r="T401" s="903"/>
      <c r="U401" s="903"/>
      <c r="V401" s="903"/>
      <c r="W401" s="903"/>
      <c r="X401" s="903"/>
      <c r="Y401" s="903"/>
    </row>
    <row r="402" spans="2:39" ht="15.75" customHeight="1" x14ac:dyDescent="0.35">
      <c r="C402" s="371" t="s">
        <v>745</v>
      </c>
      <c r="D402" s="939"/>
      <c r="E402" s="939"/>
      <c r="F402" s="939"/>
      <c r="G402" s="865"/>
      <c r="H402" s="865"/>
      <c r="I402" s="865"/>
      <c r="J402" s="865"/>
      <c r="K402" s="865"/>
      <c r="L402" s="865"/>
      <c r="N402" s="865"/>
      <c r="O402" s="865"/>
      <c r="P402" s="865"/>
      <c r="Q402" s="865"/>
      <c r="R402" s="865"/>
      <c r="T402" s="904"/>
      <c r="U402" s="904"/>
      <c r="V402" s="904"/>
      <c r="W402" s="8"/>
      <c r="X402" s="8"/>
      <c r="Y402" s="8"/>
    </row>
    <row r="403" spans="2:39" ht="15.75" customHeight="1" x14ac:dyDescent="0.35">
      <c r="C403" s="371"/>
      <c r="D403" s="939"/>
      <c r="E403" s="939"/>
      <c r="F403" s="939"/>
      <c r="G403" s="865"/>
      <c r="H403" s="865"/>
      <c r="I403" s="865"/>
      <c r="J403" s="865"/>
      <c r="K403" s="865"/>
      <c r="L403" s="865"/>
      <c r="N403" s="865"/>
      <c r="O403" s="865"/>
      <c r="P403" s="865"/>
      <c r="Q403" s="865"/>
      <c r="R403" s="865"/>
      <c r="T403" s="904"/>
      <c r="U403" s="904"/>
      <c r="V403" s="904"/>
      <c r="W403" s="8"/>
      <c r="X403" s="8"/>
      <c r="Y403" s="8"/>
    </row>
    <row r="404" spans="2:39" ht="15.75" customHeight="1" x14ac:dyDescent="0.35">
      <c r="C404" s="939"/>
      <c r="D404" s="939"/>
      <c r="E404" s="939"/>
      <c r="F404" s="939"/>
      <c r="G404" s="865"/>
      <c r="H404" s="865"/>
      <c r="I404" s="865"/>
      <c r="J404" s="865"/>
      <c r="K404" s="865"/>
      <c r="L404" s="865"/>
      <c r="M404" s="865"/>
      <c r="N404" s="865"/>
      <c r="O404" s="865"/>
      <c r="P404" s="865"/>
      <c r="Q404" s="865"/>
      <c r="R404" s="865"/>
      <c r="T404" s="904"/>
      <c r="U404" s="904"/>
      <c r="V404" s="904"/>
      <c r="W404" s="8"/>
      <c r="X404" s="8"/>
      <c r="Y404" s="8"/>
    </row>
    <row r="405" spans="2:39" ht="15.75" customHeight="1" x14ac:dyDescent="0.35">
      <c r="C405" s="104" t="s">
        <v>746</v>
      </c>
      <c r="D405" s="104"/>
      <c r="E405" s="104"/>
      <c r="F405" s="104"/>
      <c r="I405" s="646" t="s">
        <v>747</v>
      </c>
      <c r="J405" s="3" t="s">
        <v>422</v>
      </c>
      <c r="K405" s="59">
        <v>1.5</v>
      </c>
      <c r="L405" s="59"/>
      <c r="M405" s="52" t="s">
        <v>748</v>
      </c>
      <c r="N405" s="2"/>
      <c r="W405" s="8"/>
      <c r="X405" s="8"/>
      <c r="Y405" s="8"/>
    </row>
    <row r="406" spans="2:39" ht="15.75" customHeight="1" x14ac:dyDescent="0.35">
      <c r="C406" s="104" t="s">
        <v>749</v>
      </c>
      <c r="D406" s="104"/>
      <c r="E406" s="104"/>
      <c r="F406" s="104"/>
      <c r="G406" s="882"/>
      <c r="I406" s="646" t="s">
        <v>750</v>
      </c>
      <c r="J406" s="3" t="s">
        <v>422</v>
      </c>
      <c r="K406" s="59">
        <v>1.3</v>
      </c>
      <c r="L406" s="59"/>
      <c r="M406" s="52" t="s">
        <v>748</v>
      </c>
      <c r="N406" s="2"/>
      <c r="W406" s="903"/>
      <c r="X406" s="903"/>
      <c r="Y406" s="903"/>
    </row>
    <row r="407" spans="2:39" ht="15.75" customHeight="1" x14ac:dyDescent="0.35">
      <c r="C407" s="104"/>
      <c r="D407" s="104"/>
      <c r="E407" s="104"/>
      <c r="F407" s="104"/>
      <c r="G407" s="882"/>
      <c r="I407" s="646"/>
      <c r="J407" s="3"/>
      <c r="K407" s="59"/>
      <c r="L407" s="59"/>
      <c r="M407" s="52"/>
      <c r="N407" s="2"/>
      <c r="W407" s="903"/>
      <c r="X407" s="903"/>
      <c r="Y407" s="903"/>
    </row>
    <row r="408" spans="2:39" ht="15.75" customHeight="1" x14ac:dyDescent="0.35">
      <c r="I408" s="646"/>
      <c r="M408" s="52"/>
      <c r="N408" s="2"/>
      <c r="T408" s="903"/>
      <c r="U408" s="903"/>
      <c r="V408" s="903"/>
      <c r="W408" s="903"/>
      <c r="X408" s="903"/>
      <c r="Y408" s="903"/>
    </row>
    <row r="409" spans="2:39" ht="15.75" customHeight="1" x14ac:dyDescent="0.35">
      <c r="C409" s="70" t="s">
        <v>751</v>
      </c>
      <c r="D409" s="49"/>
      <c r="E409" s="49"/>
      <c r="F409" s="49"/>
      <c r="G409" s="49"/>
      <c r="I409" s="646"/>
      <c r="L409" s="47"/>
      <c r="M409" s="52"/>
      <c r="N409" s="2"/>
      <c r="T409" s="905"/>
      <c r="U409" s="905"/>
      <c r="V409" s="905"/>
    </row>
    <row r="410" spans="2:39" ht="22.5" customHeight="1" thickBot="1" x14ac:dyDescent="0.45">
      <c r="C410" s="104" t="s">
        <v>752</v>
      </c>
      <c r="D410" s="104"/>
      <c r="E410" s="104"/>
      <c r="I410" s="646" t="s">
        <v>509</v>
      </c>
      <c r="J410" s="3" t="s">
        <v>422</v>
      </c>
      <c r="K410" s="938" t="s">
        <v>753</v>
      </c>
      <c r="L410" s="935"/>
      <c r="M410" s="945"/>
      <c r="N410" s="8"/>
      <c r="O410" s="8"/>
      <c r="P410" s="8"/>
      <c r="T410" s="903"/>
      <c r="U410" s="903"/>
      <c r="V410" s="903"/>
      <c r="W410" s="903"/>
      <c r="X410" s="903"/>
      <c r="Y410" s="903"/>
      <c r="AB410" s="1132"/>
      <c r="AC410" s="1133"/>
      <c r="AD410" s="1133"/>
      <c r="AE410" s="1133"/>
      <c r="AF410" s="1133"/>
      <c r="AG410" s="1133"/>
    </row>
    <row r="411" spans="2:39" ht="15.75" customHeight="1" thickTop="1" x14ac:dyDescent="0.4">
      <c r="C411" s="104"/>
      <c r="D411" s="104"/>
      <c r="E411" s="104"/>
      <c r="K411" s="936" t="s">
        <v>754</v>
      </c>
      <c r="L411" s="937"/>
      <c r="M411" s="945"/>
      <c r="N411" s="8"/>
      <c r="O411" s="8"/>
      <c r="P411" s="8"/>
      <c r="T411" s="903"/>
      <c r="U411" s="903"/>
      <c r="V411" s="903"/>
      <c r="W411" s="903"/>
      <c r="X411" s="903"/>
      <c r="Y411" s="903"/>
    </row>
    <row r="412" spans="2:39" ht="15.75" customHeight="1" x14ac:dyDescent="0.4">
      <c r="C412" s="104"/>
      <c r="D412" s="104"/>
      <c r="E412" s="104"/>
      <c r="K412" s="936"/>
      <c r="L412" s="937"/>
      <c r="M412" s="945"/>
      <c r="N412" s="8"/>
      <c r="O412" s="8"/>
      <c r="P412" s="8"/>
      <c r="T412" s="903"/>
      <c r="U412" s="903"/>
      <c r="V412" s="903"/>
      <c r="W412" s="903"/>
      <c r="X412" s="903"/>
      <c r="Y412" s="903"/>
    </row>
    <row r="413" spans="2:39" ht="15.65" customHeight="1" x14ac:dyDescent="0.35">
      <c r="C413" s="104" t="s">
        <v>755</v>
      </c>
      <c r="D413" s="104"/>
      <c r="E413" s="104"/>
      <c r="M413" s="52"/>
      <c r="N413" s="2"/>
      <c r="T413" s="904"/>
      <c r="U413" s="904"/>
      <c r="V413" s="904"/>
      <c r="AB413" s="1134"/>
      <c r="AC413" s="1135"/>
      <c r="AD413" s="1135"/>
      <c r="AE413" s="1135"/>
      <c r="AF413" s="1135"/>
      <c r="AG413" s="1135"/>
    </row>
    <row r="414" spans="2:39" ht="15.65" customHeight="1" x14ac:dyDescent="0.35">
      <c r="C414" s="104" t="s">
        <v>756</v>
      </c>
      <c r="D414" s="104"/>
      <c r="E414" s="104"/>
      <c r="M414" s="52"/>
      <c r="N414" s="2"/>
      <c r="T414" s="905"/>
      <c r="U414" s="905"/>
      <c r="V414" s="905"/>
    </row>
    <row r="415" spans="2:39" ht="15.75" customHeight="1" x14ac:dyDescent="0.35">
      <c r="B415" s="32"/>
      <c r="C415" s="104"/>
      <c r="D415" s="104"/>
      <c r="E415" s="104"/>
      <c r="M415" s="52"/>
      <c r="N415" s="2"/>
      <c r="T415" s="845"/>
      <c r="U415" s="845"/>
      <c r="V415" s="845"/>
      <c r="AJ415" s="35"/>
      <c r="AK415" s="35"/>
      <c r="AL415" s="35"/>
      <c r="AM415" s="35"/>
    </row>
    <row r="416" spans="2:39" ht="15.75" customHeight="1" x14ac:dyDescent="0.35">
      <c r="B416" s="7"/>
      <c r="C416" s="104" t="s">
        <v>757</v>
      </c>
      <c r="D416" s="104"/>
      <c r="E416" s="104"/>
      <c r="M416" s="52"/>
      <c r="N416" s="2"/>
      <c r="T416" s="1136"/>
      <c r="U416" s="1098"/>
      <c r="V416" s="1098"/>
      <c r="AJ416" s="35"/>
      <c r="AK416" s="35"/>
      <c r="AL416" s="35"/>
      <c r="AM416" s="35"/>
    </row>
    <row r="417" spans="3:64" ht="15.75" customHeight="1" x14ac:dyDescent="0.5">
      <c r="C417" s="104"/>
      <c r="D417" s="104"/>
      <c r="E417" s="104"/>
      <c r="M417" s="52"/>
      <c r="N417" s="2"/>
      <c r="T417" s="8"/>
      <c r="U417" s="8"/>
      <c r="V417" s="8"/>
      <c r="AI417" s="64"/>
      <c r="AJ417" s="65"/>
      <c r="AK417" s="65"/>
      <c r="AL417" s="65"/>
      <c r="AM417" s="65"/>
      <c r="AN417" s="65"/>
    </row>
    <row r="418" spans="3:64" ht="15.75" customHeight="1" x14ac:dyDescent="0.35">
      <c r="C418" s="104"/>
      <c r="D418" s="104"/>
      <c r="E418" s="104"/>
      <c r="M418" s="52"/>
      <c r="N418" s="2"/>
      <c r="T418" s="846"/>
      <c r="U418" s="8"/>
      <c r="V418" s="8"/>
    </row>
    <row r="419" spans="3:64" ht="15.75" customHeight="1" x14ac:dyDescent="0.35">
      <c r="C419" s="104" t="s">
        <v>758</v>
      </c>
      <c r="D419" s="104"/>
      <c r="E419" s="104"/>
      <c r="M419" s="52"/>
      <c r="N419" s="2"/>
      <c r="T419" s="1138"/>
      <c r="U419" s="1098"/>
      <c r="V419" s="1098"/>
    </row>
    <row r="420" spans="3:64" ht="14.5" customHeight="1" x14ac:dyDescent="0.35">
      <c r="C420" s="104"/>
      <c r="D420" s="104"/>
      <c r="E420" s="104"/>
      <c r="M420" s="52"/>
      <c r="N420" s="2"/>
      <c r="T420" s="1139"/>
      <c r="U420" s="1098"/>
      <c r="V420" s="1098"/>
    </row>
    <row r="421" spans="3:64" ht="20" customHeight="1" x14ac:dyDescent="0.35">
      <c r="C421" s="104" t="s">
        <v>760</v>
      </c>
      <c r="D421" s="104"/>
      <c r="E421" s="104"/>
      <c r="I421" s="334" t="s">
        <v>761</v>
      </c>
      <c r="J421" s="430" t="s">
        <v>422</v>
      </c>
      <c r="K421" s="306">
        <v>10</v>
      </c>
      <c r="L421" s="940" t="s">
        <v>392</v>
      </c>
      <c r="M421" s="52"/>
      <c r="N421" s="2"/>
      <c r="T421" s="1136"/>
      <c r="U421" s="1098"/>
      <c r="V421" s="1098"/>
      <c r="AI421" s="819" t="s">
        <v>762</v>
      </c>
      <c r="AJ421" s="819" t="s">
        <v>381</v>
      </c>
      <c r="AK421" s="819" t="s">
        <v>763</v>
      </c>
      <c r="AL421" s="819" t="s">
        <v>764</v>
      </c>
      <c r="AM421" s="819" t="s">
        <v>765</v>
      </c>
      <c r="AN421" s="819" t="s">
        <v>766</v>
      </c>
      <c r="AS421" s="820"/>
      <c r="AT421" s="821"/>
      <c r="AU421" s="821"/>
      <c r="AV421" s="821"/>
      <c r="AW421" s="821"/>
      <c r="AX421" s="821"/>
    </row>
    <row r="422" spans="3:64" ht="22" customHeight="1" x14ac:dyDescent="0.35">
      <c r="C422" s="104" t="s">
        <v>767</v>
      </c>
      <c r="D422" s="104"/>
      <c r="E422" s="104"/>
      <c r="I422" s="646" t="s">
        <v>768</v>
      </c>
      <c r="J422" s="941" t="s">
        <v>422</v>
      </c>
      <c r="K422" s="942" t="s">
        <v>769</v>
      </c>
      <c r="M422" s="52"/>
      <c r="N422" s="2"/>
      <c r="T422" s="8"/>
      <c r="U422" s="8"/>
      <c r="V422" s="8"/>
      <c r="AI422" s="822" t="s">
        <v>770</v>
      </c>
      <c r="AJ422" s="823">
        <v>63400</v>
      </c>
      <c r="AK422" s="824">
        <v>1118</v>
      </c>
      <c r="AL422" s="824">
        <v>25.9</v>
      </c>
      <c r="AM422" s="824">
        <v>405</v>
      </c>
      <c r="AN422" s="824">
        <v>45</v>
      </c>
      <c r="AS422" s="825" t="s">
        <v>771</v>
      </c>
      <c r="AT422" s="825" t="s">
        <v>772</v>
      </c>
      <c r="AU422" s="825" t="s">
        <v>773</v>
      </c>
      <c r="AV422" s="825" t="s">
        <v>774</v>
      </c>
      <c r="AW422" s="825" t="s">
        <v>775</v>
      </c>
      <c r="AX422" s="825" t="s">
        <v>776</v>
      </c>
    </row>
    <row r="423" spans="3:64" ht="14.5" customHeight="1" x14ac:dyDescent="0.35">
      <c r="C423" s="104" t="s">
        <v>777</v>
      </c>
      <c r="D423" s="104"/>
      <c r="E423" s="104"/>
      <c r="M423" s="945"/>
      <c r="N423" s="8"/>
      <c r="T423" s="8"/>
      <c r="U423" s="8"/>
      <c r="V423" s="8"/>
      <c r="AI423" s="826" t="s">
        <v>778</v>
      </c>
      <c r="AJ423" s="827">
        <v>55300</v>
      </c>
      <c r="AK423" s="828">
        <v>1108</v>
      </c>
      <c r="AL423" s="828">
        <v>22.1</v>
      </c>
      <c r="AM423" s="828">
        <v>402</v>
      </c>
      <c r="AN423" s="828">
        <v>40.1</v>
      </c>
      <c r="AO423" s="818"/>
      <c r="AP423" s="818"/>
      <c r="AQ423" s="821"/>
      <c r="AR423" s="821"/>
      <c r="AS423" s="829">
        <v>335</v>
      </c>
      <c r="AT423" s="824">
        <v>499</v>
      </c>
      <c r="AU423" s="830">
        <v>4.5</v>
      </c>
      <c r="AV423" s="831">
        <v>39.700000000000003</v>
      </c>
      <c r="AW423" s="824">
        <v>12900</v>
      </c>
      <c r="AX423" s="824">
        <v>23100</v>
      </c>
      <c r="AY423" s="821"/>
      <c r="AZ423" s="821"/>
      <c r="BA423" s="821"/>
      <c r="BB423" s="821"/>
      <c r="BC423" s="821"/>
      <c r="BD423" s="821"/>
      <c r="BE423" s="821"/>
      <c r="BF423" s="821"/>
      <c r="BG423" s="821"/>
      <c r="BH423" s="821"/>
      <c r="BI423" s="821"/>
      <c r="BJ423" s="821"/>
      <c r="BK423" s="821"/>
      <c r="BL423" s="820"/>
    </row>
    <row r="424" spans="3:64" ht="16" customHeight="1" x14ac:dyDescent="0.35">
      <c r="C424" s="104"/>
      <c r="D424" s="104"/>
      <c r="E424" s="104"/>
      <c r="I424" s="3" t="s">
        <v>779</v>
      </c>
      <c r="J424" s="3" t="s">
        <v>422</v>
      </c>
      <c r="K424" s="874">
        <v>3.5400000000000001E-2</v>
      </c>
      <c r="M424" s="52"/>
      <c r="N424" s="874"/>
      <c r="O424" s="874"/>
      <c r="T424" s="1137"/>
      <c r="U424" s="1098"/>
      <c r="V424" s="1098"/>
      <c r="AI424" s="826" t="s">
        <v>780</v>
      </c>
      <c r="AJ424" s="827">
        <v>49900</v>
      </c>
      <c r="AK424" s="828">
        <v>1100</v>
      </c>
      <c r="AL424" s="828">
        <v>20.100000000000001</v>
      </c>
      <c r="AM424" s="828">
        <v>400</v>
      </c>
      <c r="AN424" s="828">
        <v>36.1</v>
      </c>
      <c r="AO424" s="832" t="s">
        <v>781</v>
      </c>
      <c r="AP424" s="832" t="s">
        <v>782</v>
      </c>
      <c r="AQ424" s="832" t="s">
        <v>783</v>
      </c>
      <c r="AR424" s="832" t="s">
        <v>784</v>
      </c>
      <c r="AS424" s="833">
        <v>290</v>
      </c>
      <c r="AT424" s="828">
        <v>433</v>
      </c>
      <c r="AU424" s="834">
        <v>5.01</v>
      </c>
      <c r="AV424" s="835">
        <v>46.5</v>
      </c>
      <c r="AW424" s="828">
        <v>11300</v>
      </c>
      <c r="AX424" s="828">
        <v>20400</v>
      </c>
      <c r="AY424" s="825" t="s">
        <v>785</v>
      </c>
      <c r="AZ424" s="825" t="s">
        <v>786</v>
      </c>
      <c r="BA424" s="825" t="s">
        <v>787</v>
      </c>
      <c r="BB424" s="825" t="s">
        <v>788</v>
      </c>
      <c r="BC424" s="825" t="s">
        <v>789</v>
      </c>
      <c r="BD424" s="825" t="s">
        <v>790</v>
      </c>
      <c r="BE424" s="825" t="s">
        <v>791</v>
      </c>
      <c r="BF424" s="825" t="s">
        <v>792</v>
      </c>
      <c r="BG424" s="825" t="s">
        <v>793</v>
      </c>
      <c r="BH424" s="825" t="s">
        <v>439</v>
      </c>
      <c r="BI424" s="825" t="s">
        <v>794</v>
      </c>
      <c r="BJ424" s="825" t="s">
        <v>795</v>
      </c>
      <c r="BK424" s="825" t="s">
        <v>796</v>
      </c>
      <c r="BL424" s="825" t="s">
        <v>797</v>
      </c>
    </row>
    <row r="425" spans="3:64" ht="16.5" customHeight="1" x14ac:dyDescent="0.35">
      <c r="C425" s="104"/>
      <c r="D425" s="104"/>
      <c r="E425" s="104"/>
      <c r="I425" s="3" t="s">
        <v>798</v>
      </c>
      <c r="J425" s="3" t="s">
        <v>422</v>
      </c>
      <c r="K425" s="944" t="s">
        <v>799</v>
      </c>
      <c r="M425" s="52"/>
      <c r="N425" s="2"/>
      <c r="O425" s="8"/>
      <c r="T425" s="8"/>
      <c r="U425" s="8"/>
      <c r="V425" s="8"/>
      <c r="AI425" s="826" t="s">
        <v>800</v>
      </c>
      <c r="AJ425" s="827">
        <v>43600</v>
      </c>
      <c r="AK425" s="828">
        <v>1090</v>
      </c>
      <c r="AL425" s="828">
        <v>18</v>
      </c>
      <c r="AM425" s="828">
        <v>400</v>
      </c>
      <c r="AN425" s="828">
        <v>31</v>
      </c>
      <c r="AO425" s="830" t="s">
        <v>801</v>
      </c>
      <c r="AP425" s="830">
        <v>67</v>
      </c>
      <c r="AQ425" s="836">
        <v>33</v>
      </c>
      <c r="AR425" s="837">
        <v>44</v>
      </c>
      <c r="AS425" s="833">
        <v>262</v>
      </c>
      <c r="AT425" s="828">
        <v>390</v>
      </c>
      <c r="AU425" s="834">
        <v>5.54</v>
      </c>
      <c r="AV425" s="835">
        <v>51.1</v>
      </c>
      <c r="AW425" s="828">
        <v>10100</v>
      </c>
      <c r="AX425" s="828">
        <v>18300</v>
      </c>
      <c r="AY425" s="824">
        <v>452</v>
      </c>
      <c r="AZ425" s="824">
        <v>26600</v>
      </c>
      <c r="BA425" s="824">
        <v>500</v>
      </c>
      <c r="BB425" s="824">
        <v>2470</v>
      </c>
      <c r="BC425" s="824">
        <v>88.8</v>
      </c>
      <c r="BD425" s="824">
        <v>3870</v>
      </c>
      <c r="BE425" s="830">
        <v>0.60607606619877818</v>
      </c>
      <c r="BF425" s="831">
        <v>1073</v>
      </c>
      <c r="BG425" s="824">
        <v>31000</v>
      </c>
      <c r="BH425" s="824">
        <v>144000</v>
      </c>
      <c r="BI425" s="824">
        <v>109000</v>
      </c>
      <c r="BJ425" s="824">
        <v>495</v>
      </c>
      <c r="BK425" s="824">
        <v>4580</v>
      </c>
      <c r="BL425" s="838">
        <v>13200</v>
      </c>
    </row>
    <row r="426" spans="3:64" ht="14.5" customHeight="1" x14ac:dyDescent="0.35">
      <c r="C426" s="104" t="s">
        <v>802</v>
      </c>
      <c r="D426" s="104"/>
      <c r="E426" s="104"/>
      <c r="I426" s="3"/>
      <c r="J426" s="3" t="s">
        <v>422</v>
      </c>
      <c r="K426" s="8" t="e">
        <f>0.025*#REF!</f>
        <v>#REF!</v>
      </c>
      <c r="L426" s="2" t="s">
        <v>803</v>
      </c>
      <c r="M426" s="52"/>
      <c r="N426" s="2"/>
      <c r="O426" s="8"/>
      <c r="S426" s="8"/>
      <c r="T426" s="8"/>
      <c r="U426" s="8"/>
      <c r="AI426" s="826" t="s">
        <v>804</v>
      </c>
      <c r="AJ426" s="827">
        <v>113000</v>
      </c>
      <c r="AK426" s="828">
        <v>1092</v>
      </c>
      <c r="AL426" s="828">
        <v>45.5</v>
      </c>
      <c r="AM426" s="828">
        <v>424</v>
      </c>
      <c r="AN426" s="828">
        <v>82</v>
      </c>
      <c r="AO426" s="834" t="s">
        <v>805</v>
      </c>
      <c r="AP426" s="834">
        <v>62</v>
      </c>
      <c r="AQ426" s="839">
        <v>31</v>
      </c>
      <c r="AR426" s="840">
        <v>44</v>
      </c>
      <c r="AS426" s="833">
        <v>230</v>
      </c>
      <c r="AT426" s="828">
        <v>343</v>
      </c>
      <c r="AU426" s="834">
        <v>6.45</v>
      </c>
      <c r="AV426" s="835">
        <v>57.1</v>
      </c>
      <c r="AW426" s="828">
        <v>8670</v>
      </c>
      <c r="AX426" s="828">
        <v>15900</v>
      </c>
      <c r="AY426" s="828">
        <v>452</v>
      </c>
      <c r="AZ426" s="828">
        <v>23200</v>
      </c>
      <c r="BA426" s="828">
        <v>435</v>
      </c>
      <c r="BB426" s="828">
        <v>2170</v>
      </c>
      <c r="BC426" s="828">
        <v>88.7</v>
      </c>
      <c r="BD426" s="828">
        <v>3370</v>
      </c>
      <c r="BE426" s="834">
        <v>0.60001575186804501</v>
      </c>
      <c r="BF426" s="835">
        <v>1067.9000000000001</v>
      </c>
      <c r="BG426" s="828">
        <v>21400</v>
      </c>
      <c r="BH426" s="828">
        <v>124000</v>
      </c>
      <c r="BI426" s="828">
        <v>107000</v>
      </c>
      <c r="BJ426" s="828">
        <v>433</v>
      </c>
      <c r="BK426" s="828">
        <v>4070</v>
      </c>
      <c r="BL426" s="841">
        <v>11500</v>
      </c>
    </row>
    <row r="427" spans="3:64" ht="16" customHeight="1" x14ac:dyDescent="0.35">
      <c r="C427" s="104"/>
      <c r="D427" s="104"/>
      <c r="E427" s="104"/>
      <c r="I427" s="3" t="s">
        <v>779</v>
      </c>
      <c r="J427" s="3" t="s">
        <v>422</v>
      </c>
      <c r="K427" s="874">
        <v>5.1499999999999997E-2</v>
      </c>
      <c r="M427" s="52"/>
      <c r="N427" s="943"/>
      <c r="O427" s="943"/>
      <c r="S427" s="8"/>
      <c r="T427" s="8"/>
      <c r="U427" s="8"/>
      <c r="AI427" s="826" t="s">
        <v>806</v>
      </c>
      <c r="AJ427" s="827">
        <v>95500</v>
      </c>
      <c r="AK427" s="828">
        <v>1068</v>
      </c>
      <c r="AL427" s="828">
        <v>39.1</v>
      </c>
      <c r="AM427" s="828">
        <v>417</v>
      </c>
      <c r="AN427" s="828">
        <v>70.099999999999994</v>
      </c>
      <c r="AO427" s="834" t="s">
        <v>807</v>
      </c>
      <c r="AP427" s="834">
        <v>58</v>
      </c>
      <c r="AQ427" s="828">
        <v>30</v>
      </c>
      <c r="AR427" s="840">
        <v>44</v>
      </c>
      <c r="AS427" s="833">
        <v>593</v>
      </c>
      <c r="AT427" s="828">
        <v>883</v>
      </c>
      <c r="AU427" s="834">
        <v>2.59</v>
      </c>
      <c r="AV427" s="835">
        <v>20.399999999999999</v>
      </c>
      <c r="AW427" s="828">
        <v>21000</v>
      </c>
      <c r="AX427" s="828">
        <v>38400</v>
      </c>
      <c r="AY427" s="828">
        <v>450</v>
      </c>
      <c r="AZ427" s="828">
        <v>20800</v>
      </c>
      <c r="BA427" s="828">
        <v>386</v>
      </c>
      <c r="BB427" s="828">
        <v>1930</v>
      </c>
      <c r="BC427" s="828">
        <v>87.9</v>
      </c>
      <c r="BD427" s="828">
        <v>3000</v>
      </c>
      <c r="BE427" s="834">
        <v>0.59535760525143333</v>
      </c>
      <c r="BF427" s="835">
        <v>1063.9000000000001</v>
      </c>
      <c r="BG427" s="828">
        <v>15700</v>
      </c>
      <c r="BH427" s="828">
        <v>109000</v>
      </c>
      <c r="BI427" s="828">
        <v>106000</v>
      </c>
      <c r="BJ427" s="828">
        <v>384</v>
      </c>
      <c r="BK427" s="828">
        <v>3650</v>
      </c>
      <c r="BL427" s="841">
        <v>10300</v>
      </c>
    </row>
    <row r="428" spans="3:64" ht="16" customHeight="1" x14ac:dyDescent="0.35">
      <c r="C428" s="104" t="s">
        <v>808</v>
      </c>
      <c r="D428" s="104"/>
      <c r="E428" s="104"/>
      <c r="I428" s="3" t="s">
        <v>809</v>
      </c>
      <c r="J428" s="3" t="s">
        <v>422</v>
      </c>
      <c r="K428" s="59">
        <v>1</v>
      </c>
      <c r="M428" s="52" t="s">
        <v>810</v>
      </c>
      <c r="N428" s="2"/>
      <c r="S428" s="8"/>
      <c r="T428" s="8"/>
      <c r="U428" s="8"/>
      <c r="AI428" s="826" t="s">
        <v>811</v>
      </c>
      <c r="AJ428" s="827">
        <v>81700</v>
      </c>
      <c r="AK428" s="828">
        <v>1048</v>
      </c>
      <c r="AL428" s="828">
        <v>34</v>
      </c>
      <c r="AM428" s="828">
        <v>412</v>
      </c>
      <c r="AN428" s="828">
        <v>59.9</v>
      </c>
      <c r="AO428" s="834" t="s">
        <v>812</v>
      </c>
      <c r="AP428" s="834">
        <v>53</v>
      </c>
      <c r="AQ428" s="839">
        <v>29</v>
      </c>
      <c r="AR428" s="840">
        <v>44</v>
      </c>
      <c r="AS428" s="833">
        <v>503</v>
      </c>
      <c r="AT428" s="828">
        <v>748</v>
      </c>
      <c r="AU428" s="834">
        <v>2.97</v>
      </c>
      <c r="AV428" s="835">
        <v>23.7</v>
      </c>
      <c r="AW428" s="828">
        <v>17300</v>
      </c>
      <c r="AX428" s="828">
        <v>32500</v>
      </c>
      <c r="AY428" s="828">
        <v>446</v>
      </c>
      <c r="AZ428" s="828">
        <v>18100</v>
      </c>
      <c r="BA428" s="828">
        <v>331</v>
      </c>
      <c r="BB428" s="828">
        <v>1660</v>
      </c>
      <c r="BC428" s="828">
        <v>87.1</v>
      </c>
      <c r="BD428" s="828">
        <v>2570</v>
      </c>
      <c r="BE428" s="834">
        <v>0.5905577385380999</v>
      </c>
      <c r="BF428" s="835">
        <v>1059</v>
      </c>
      <c r="BG428" s="828">
        <v>10300</v>
      </c>
      <c r="BH428" s="828">
        <v>92900</v>
      </c>
      <c r="BI428" s="828">
        <v>106000</v>
      </c>
      <c r="BJ428" s="828">
        <v>328</v>
      </c>
      <c r="BK428" s="828">
        <v>3140</v>
      </c>
      <c r="BL428" s="841">
        <v>8940</v>
      </c>
    </row>
    <row r="429" spans="3:64" ht="14.5" customHeight="1" x14ac:dyDescent="0.35">
      <c r="C429" s="104" t="s">
        <v>813</v>
      </c>
      <c r="D429" s="104"/>
      <c r="E429" s="104"/>
      <c r="N429" s="2"/>
      <c r="S429" s="8"/>
      <c r="T429" s="8"/>
      <c r="U429" s="8"/>
      <c r="AI429" s="826" t="s">
        <v>814</v>
      </c>
      <c r="AJ429" s="827">
        <v>75300</v>
      </c>
      <c r="AK429" s="828">
        <v>1040</v>
      </c>
      <c r="AL429" s="828">
        <v>31</v>
      </c>
      <c r="AM429" s="828">
        <v>409</v>
      </c>
      <c r="AN429" s="828">
        <v>55.9</v>
      </c>
      <c r="AO429" s="834" t="s">
        <v>815</v>
      </c>
      <c r="AP429" s="834">
        <v>114</v>
      </c>
      <c r="AQ429" s="828">
        <v>53</v>
      </c>
      <c r="AR429" s="833">
        <v>40</v>
      </c>
      <c r="AS429" s="833">
        <v>431</v>
      </c>
      <c r="AT429" s="828">
        <v>642</v>
      </c>
      <c r="AU429" s="834">
        <v>3.44</v>
      </c>
      <c r="AV429" s="835">
        <v>27.3</v>
      </c>
      <c r="AW429" s="828">
        <v>14500</v>
      </c>
      <c r="AX429" s="828">
        <v>27700</v>
      </c>
      <c r="AY429" s="828">
        <v>432</v>
      </c>
      <c r="AZ429" s="828">
        <v>45300</v>
      </c>
      <c r="BA429" s="828">
        <v>1050</v>
      </c>
      <c r="BB429" s="828">
        <v>4950</v>
      </c>
      <c r="BC429" s="828">
        <v>96.6</v>
      </c>
      <c r="BD429" s="828">
        <v>7870</v>
      </c>
      <c r="BE429" s="834">
        <v>0.66094513630493223</v>
      </c>
      <c r="BF429" s="835">
        <v>1010</v>
      </c>
      <c r="BG429" s="828">
        <v>185000</v>
      </c>
      <c r="BH429" s="828">
        <v>268000</v>
      </c>
      <c r="BI429" s="828">
        <v>107000</v>
      </c>
      <c r="BJ429" s="828">
        <v>931</v>
      </c>
      <c r="BK429" s="828">
        <v>7840</v>
      </c>
      <c r="BL429" s="841">
        <v>22500</v>
      </c>
    </row>
    <row r="430" spans="3:64" ht="14.5" customHeight="1" x14ac:dyDescent="0.35">
      <c r="C430" s="104"/>
      <c r="D430" s="104"/>
      <c r="E430" s="104"/>
      <c r="N430" s="2"/>
      <c r="S430" s="8"/>
      <c r="T430" s="8"/>
      <c r="U430" s="8"/>
      <c r="AI430" s="826" t="s">
        <v>816</v>
      </c>
      <c r="AJ430" s="827">
        <v>70700</v>
      </c>
      <c r="AK430" s="828">
        <v>1032</v>
      </c>
      <c r="AL430" s="828">
        <v>29.5</v>
      </c>
      <c r="AM430" s="828">
        <v>408</v>
      </c>
      <c r="AN430" s="828">
        <v>52.1</v>
      </c>
      <c r="AO430" s="834" t="s">
        <v>817</v>
      </c>
      <c r="AP430" s="834">
        <v>102</v>
      </c>
      <c r="AQ430" s="839">
        <v>50</v>
      </c>
      <c r="AR430" s="833">
        <v>40</v>
      </c>
      <c r="AS430" s="833">
        <v>397</v>
      </c>
      <c r="AT430" s="828">
        <v>591</v>
      </c>
      <c r="AU430" s="834">
        <v>3.66</v>
      </c>
      <c r="AV430" s="835">
        <v>29.9</v>
      </c>
      <c r="AW430" s="828">
        <v>13300</v>
      </c>
      <c r="AX430" s="828">
        <v>25600</v>
      </c>
      <c r="AY430" s="828">
        <v>426</v>
      </c>
      <c r="AZ430" s="828">
        <v>37900</v>
      </c>
      <c r="BA430" s="828">
        <v>852</v>
      </c>
      <c r="BB430" s="828">
        <v>4090</v>
      </c>
      <c r="BC430" s="828">
        <v>94.5</v>
      </c>
      <c r="BD430" s="828">
        <v>6470</v>
      </c>
      <c r="BE430" s="834">
        <v>0.64306101761921663</v>
      </c>
      <c r="BF430" s="835">
        <v>997.9</v>
      </c>
      <c r="BG430" s="828">
        <v>116000</v>
      </c>
      <c r="BH430" s="828">
        <v>212000</v>
      </c>
      <c r="BI430" s="828">
        <v>104000</v>
      </c>
      <c r="BJ430" s="828">
        <v>760</v>
      </c>
      <c r="BK430" s="828">
        <v>6610</v>
      </c>
      <c r="BL430" s="841">
        <v>18800</v>
      </c>
    </row>
    <row r="431" spans="3:64" ht="14.5" customHeight="1" x14ac:dyDescent="0.35">
      <c r="C431" s="104"/>
      <c r="D431" s="104"/>
      <c r="E431" s="104"/>
      <c r="N431" s="2"/>
      <c r="S431" s="8"/>
      <c r="T431" s="8"/>
      <c r="U431" s="8"/>
      <c r="AI431" s="826" t="s">
        <v>818</v>
      </c>
      <c r="AJ431" s="827">
        <v>68700</v>
      </c>
      <c r="AK431" s="828">
        <v>1030</v>
      </c>
      <c r="AL431" s="828">
        <v>28.4</v>
      </c>
      <c r="AM431" s="828">
        <v>407</v>
      </c>
      <c r="AN431" s="828">
        <v>51.1</v>
      </c>
      <c r="AO431" s="834" t="s">
        <v>819</v>
      </c>
      <c r="AP431" s="834">
        <v>91</v>
      </c>
      <c r="AQ431" s="828">
        <v>47</v>
      </c>
      <c r="AR431" s="833">
        <v>40</v>
      </c>
      <c r="AS431" s="833">
        <v>372</v>
      </c>
      <c r="AT431" s="828">
        <v>554</v>
      </c>
      <c r="AU431" s="834">
        <v>3.92</v>
      </c>
      <c r="AV431" s="835">
        <v>31.5</v>
      </c>
      <c r="AW431" s="828">
        <v>12300</v>
      </c>
      <c r="AX431" s="828">
        <v>23900</v>
      </c>
      <c r="AY431" s="828">
        <v>421</v>
      </c>
      <c r="AZ431" s="828">
        <v>32100</v>
      </c>
      <c r="BA431" s="828">
        <v>702</v>
      </c>
      <c r="BB431" s="828">
        <v>3410</v>
      </c>
      <c r="BC431" s="828">
        <v>92.7</v>
      </c>
      <c r="BD431" s="828">
        <v>5370</v>
      </c>
      <c r="BE431" s="834">
        <v>0.62891712594908267</v>
      </c>
      <c r="BF431" s="835">
        <v>988.1</v>
      </c>
      <c r="BG431" s="828">
        <v>73500</v>
      </c>
      <c r="BH431" s="828">
        <v>171000</v>
      </c>
      <c r="BI431" s="828">
        <v>102000</v>
      </c>
      <c r="BJ431" s="828">
        <v>628</v>
      </c>
      <c r="BK431" s="828">
        <v>5590</v>
      </c>
      <c r="BL431" s="841">
        <v>15900</v>
      </c>
    </row>
    <row r="432" spans="3:64" ht="14.5" customHeight="1" x14ac:dyDescent="0.35">
      <c r="C432" s="104" t="s">
        <v>820</v>
      </c>
      <c r="D432" s="104"/>
      <c r="E432" s="104"/>
      <c r="I432" s="3" t="s">
        <v>509</v>
      </c>
      <c r="J432" s="3" t="s">
        <v>422</v>
      </c>
      <c r="K432" s="875">
        <v>1.8200000000000001E-2</v>
      </c>
      <c r="L432" s="2" t="s">
        <v>821</v>
      </c>
      <c r="M432" s="947"/>
      <c r="N432" s="2"/>
      <c r="S432" s="8"/>
      <c r="T432" s="8"/>
      <c r="U432" s="8"/>
      <c r="AI432" s="826" t="s">
        <v>822</v>
      </c>
      <c r="AJ432" s="827">
        <v>61500</v>
      </c>
      <c r="AK432" s="828">
        <v>1020</v>
      </c>
      <c r="AL432" s="828">
        <v>25.4</v>
      </c>
      <c r="AM432" s="828">
        <v>404</v>
      </c>
      <c r="AN432" s="828">
        <v>46</v>
      </c>
      <c r="AO432" s="834" t="s">
        <v>823</v>
      </c>
      <c r="AP432" s="834">
        <v>87</v>
      </c>
      <c r="AQ432" s="828">
        <v>46</v>
      </c>
      <c r="AR432" s="833">
        <v>40</v>
      </c>
      <c r="AS432" s="833">
        <v>362</v>
      </c>
      <c r="AT432" s="828">
        <v>539</v>
      </c>
      <c r="AU432" s="834">
        <v>3.98</v>
      </c>
      <c r="AV432" s="835">
        <v>32.700000000000003</v>
      </c>
      <c r="AW432" s="828">
        <v>12000</v>
      </c>
      <c r="AX432" s="828">
        <v>23400</v>
      </c>
      <c r="AY432" s="828">
        <v>421</v>
      </c>
      <c r="AZ432" s="828">
        <v>29500</v>
      </c>
      <c r="BA432" s="828">
        <v>640</v>
      </c>
      <c r="BB432" s="828">
        <v>3130</v>
      </c>
      <c r="BC432" s="828">
        <v>92.2</v>
      </c>
      <c r="BD432" s="828">
        <v>4920</v>
      </c>
      <c r="BE432" s="834">
        <v>0.62374623240316884</v>
      </c>
      <c r="BF432" s="835">
        <v>984.1</v>
      </c>
      <c r="BG432" s="828">
        <v>59000</v>
      </c>
      <c r="BH432" s="828">
        <v>155000</v>
      </c>
      <c r="BI432" s="828">
        <v>101000</v>
      </c>
      <c r="BJ432" s="828">
        <v>575</v>
      </c>
      <c r="BK432" s="828">
        <v>5200</v>
      </c>
      <c r="BL432" s="841">
        <v>14600</v>
      </c>
    </row>
    <row r="433" spans="1:64" ht="14.5" customHeight="1" x14ac:dyDescent="0.35">
      <c r="C433" s="104" t="s">
        <v>824</v>
      </c>
      <c r="D433" s="104"/>
      <c r="E433" s="104"/>
      <c r="N433" s="2"/>
      <c r="S433" s="8"/>
      <c r="T433" s="8"/>
      <c r="U433" s="8"/>
      <c r="AO433" s="834" t="s">
        <v>825</v>
      </c>
      <c r="AP433" s="834">
        <v>84</v>
      </c>
      <c r="AQ433" s="828">
        <v>45</v>
      </c>
      <c r="AR433" s="833">
        <v>40</v>
      </c>
      <c r="AS433" s="833">
        <v>324</v>
      </c>
      <c r="AT433" s="828">
        <v>483</v>
      </c>
      <c r="AU433" s="834">
        <v>4.3899999999999997</v>
      </c>
      <c r="AV433" s="835">
        <v>36.5</v>
      </c>
      <c r="AW433" s="828">
        <v>10700</v>
      </c>
      <c r="AX433" s="828">
        <v>20900</v>
      </c>
      <c r="AY433" s="828">
        <v>418</v>
      </c>
      <c r="AZ433" s="828">
        <v>27500</v>
      </c>
      <c r="BA433" s="828">
        <v>592</v>
      </c>
      <c r="BB433" s="828">
        <v>2900</v>
      </c>
      <c r="BC433" s="828">
        <v>91.5</v>
      </c>
      <c r="BD433" s="828">
        <v>4550</v>
      </c>
      <c r="BE433" s="834">
        <v>0.61937484379670105</v>
      </c>
      <c r="BF433" s="835">
        <v>979.9</v>
      </c>
      <c r="BG433" s="828">
        <v>48600</v>
      </c>
      <c r="BH433" s="828">
        <v>142000</v>
      </c>
      <c r="BI433" s="828">
        <v>99900</v>
      </c>
      <c r="BJ433" s="828">
        <v>531</v>
      </c>
      <c r="BK433" s="828">
        <v>4830</v>
      </c>
      <c r="BL433" s="841">
        <v>13600</v>
      </c>
    </row>
    <row r="434" spans="1:64" x14ac:dyDescent="0.3">
      <c r="AO434" s="906" t="s">
        <v>826</v>
      </c>
      <c r="AP434" s="906">
        <v>83</v>
      </c>
      <c r="AQ434" s="907">
        <v>44</v>
      </c>
      <c r="AR434" s="908">
        <v>40</v>
      </c>
      <c r="AY434" s="909">
        <v>418</v>
      </c>
      <c r="AZ434" s="909">
        <v>26800</v>
      </c>
      <c r="BA434" s="909">
        <v>576</v>
      </c>
      <c r="BB434" s="909">
        <v>2830</v>
      </c>
      <c r="BC434" s="909">
        <v>91.6</v>
      </c>
      <c r="BD434" s="909">
        <v>4440</v>
      </c>
      <c r="BE434" s="906">
        <v>0.61725904666300124</v>
      </c>
      <c r="BF434" s="910">
        <v>978.9</v>
      </c>
      <c r="BG434" s="909">
        <v>45300</v>
      </c>
      <c r="BH434" s="909">
        <v>138000</v>
      </c>
      <c r="BI434" s="909">
        <v>99600</v>
      </c>
      <c r="BJ434" s="909">
        <v>518</v>
      </c>
      <c r="BK434" s="909">
        <v>4730</v>
      </c>
      <c r="BL434" s="911">
        <v>13200</v>
      </c>
    </row>
    <row r="435" spans="1:64" x14ac:dyDescent="0.3">
      <c r="AI435" s="912" t="s">
        <v>827</v>
      </c>
      <c r="AJ435" s="913">
        <v>47300</v>
      </c>
      <c r="AK435" s="913">
        <v>1000</v>
      </c>
      <c r="AL435" s="913">
        <v>19</v>
      </c>
      <c r="AM435" s="913">
        <v>400</v>
      </c>
      <c r="AN435" s="913">
        <v>36.1</v>
      </c>
      <c r="AO435" s="914" t="s">
        <v>828</v>
      </c>
      <c r="AP435" s="914">
        <v>78</v>
      </c>
      <c r="AQ435" s="913">
        <v>43</v>
      </c>
      <c r="AR435" s="915">
        <v>40</v>
      </c>
      <c r="AY435" s="913">
        <v>417</v>
      </c>
      <c r="AZ435" s="913">
        <v>23900</v>
      </c>
      <c r="BA435" s="913">
        <v>507</v>
      </c>
      <c r="BB435" s="913">
        <v>2510</v>
      </c>
      <c r="BC435" s="913">
        <v>90.8</v>
      </c>
      <c r="BD435" s="913">
        <v>3920</v>
      </c>
      <c r="BE435" s="914">
        <v>0.6109056732645346</v>
      </c>
      <c r="BF435" s="916">
        <v>974</v>
      </c>
      <c r="BG435" s="913">
        <v>33100</v>
      </c>
      <c r="BH435" s="913">
        <v>120000</v>
      </c>
      <c r="BI435" s="913">
        <v>98400</v>
      </c>
      <c r="BJ435" s="913">
        <v>457</v>
      </c>
      <c r="BK435" s="913">
        <v>4240</v>
      </c>
      <c r="BL435" s="913">
        <v>11800</v>
      </c>
    </row>
    <row r="436" spans="1:64" x14ac:dyDescent="0.3">
      <c r="AI436" s="9" t="s">
        <v>829</v>
      </c>
      <c r="AJ436" s="10">
        <v>40900</v>
      </c>
      <c r="AK436" s="11">
        <v>990</v>
      </c>
      <c r="AL436" s="11">
        <v>16.5</v>
      </c>
      <c r="AM436" s="11">
        <v>400</v>
      </c>
      <c r="AN436" s="11">
        <v>31</v>
      </c>
      <c r="AS436" s="15">
        <v>249</v>
      </c>
      <c r="AT436" s="11">
        <v>371</v>
      </c>
      <c r="AU436" s="17">
        <v>5.54</v>
      </c>
      <c r="AV436" s="16">
        <v>48.8</v>
      </c>
      <c r="AW436" s="11">
        <v>8140</v>
      </c>
      <c r="AX436" s="11">
        <v>16300</v>
      </c>
    </row>
    <row r="437" spans="1:64" x14ac:dyDescent="0.3">
      <c r="AI437" s="763" t="s">
        <v>830</v>
      </c>
      <c r="AJ437" s="764">
        <v>37800</v>
      </c>
      <c r="AK437" s="765">
        <v>982</v>
      </c>
      <c r="AL437" s="765">
        <v>16.5</v>
      </c>
      <c r="AM437" s="765">
        <v>400</v>
      </c>
      <c r="AN437" s="765">
        <v>27.1</v>
      </c>
      <c r="AS437" s="766">
        <v>215</v>
      </c>
      <c r="AT437" s="765">
        <v>321</v>
      </c>
      <c r="AU437" s="767">
        <v>6.45</v>
      </c>
      <c r="AV437" s="768">
        <v>56.2</v>
      </c>
      <c r="AW437" s="765">
        <v>6960</v>
      </c>
      <c r="AX437" s="765">
        <v>14100</v>
      </c>
    </row>
    <row r="438" spans="1:64" x14ac:dyDescent="0.3">
      <c r="AI438" s="763" t="s">
        <v>831</v>
      </c>
      <c r="AJ438" s="764">
        <v>74500</v>
      </c>
      <c r="AK438" s="765">
        <v>1056</v>
      </c>
      <c r="AL438" s="765">
        <v>36.1</v>
      </c>
      <c r="AM438" s="765">
        <v>314</v>
      </c>
      <c r="AN438" s="765">
        <v>64</v>
      </c>
      <c r="AO438" s="767" t="s">
        <v>832</v>
      </c>
      <c r="AP438" s="767">
        <v>68</v>
      </c>
      <c r="AQ438" s="765">
        <v>40</v>
      </c>
      <c r="AR438" s="766">
        <v>40</v>
      </c>
      <c r="AS438" s="766">
        <v>199</v>
      </c>
      <c r="AT438" s="765">
        <v>296</v>
      </c>
      <c r="AU438" s="767">
        <v>7.38</v>
      </c>
      <c r="AV438" s="768">
        <v>56.2</v>
      </c>
      <c r="AW438" s="765">
        <v>6200</v>
      </c>
      <c r="AX438" s="765">
        <v>12600</v>
      </c>
      <c r="AY438" s="765">
        <v>415</v>
      </c>
      <c r="AZ438" s="765">
        <v>18400</v>
      </c>
      <c r="BA438" s="765">
        <v>386</v>
      </c>
      <c r="BB438" s="765">
        <v>1930</v>
      </c>
      <c r="BC438" s="765">
        <v>90.3</v>
      </c>
      <c r="BD438" s="765">
        <v>2980</v>
      </c>
      <c r="BE438" s="767">
        <v>0.60066181821992881</v>
      </c>
      <c r="BF438" s="768">
        <v>963.9</v>
      </c>
      <c r="BG438" s="765">
        <v>15900</v>
      </c>
      <c r="BH438" s="765">
        <v>89600</v>
      </c>
      <c r="BI438" s="765">
        <v>96400</v>
      </c>
      <c r="BJ438" s="765">
        <v>348</v>
      </c>
      <c r="BK438" s="765">
        <v>3310</v>
      </c>
      <c r="BL438" s="771">
        <v>9000</v>
      </c>
    </row>
    <row r="439" spans="1:64" x14ac:dyDescent="0.3">
      <c r="AI439" s="763" t="s">
        <v>833</v>
      </c>
      <c r="AJ439" s="764">
        <v>62900</v>
      </c>
      <c r="AK439" s="765">
        <v>1036</v>
      </c>
      <c r="AL439" s="765">
        <v>31</v>
      </c>
      <c r="AM439" s="765">
        <v>309</v>
      </c>
      <c r="AN439" s="765">
        <v>54</v>
      </c>
      <c r="AO439" s="767" t="s">
        <v>834</v>
      </c>
      <c r="AP439" s="767">
        <v>63</v>
      </c>
      <c r="AQ439" s="765">
        <v>38</v>
      </c>
      <c r="AR439" s="766">
        <v>40</v>
      </c>
      <c r="AS439" s="766">
        <v>392</v>
      </c>
      <c r="AT439" s="765">
        <v>584</v>
      </c>
      <c r="AU439" s="767">
        <v>2.4500000000000002</v>
      </c>
      <c r="AV439" s="768">
        <v>25.7</v>
      </c>
      <c r="AW439" s="765">
        <v>12500</v>
      </c>
      <c r="AX439" s="765">
        <v>23600</v>
      </c>
      <c r="AY439" s="765">
        <v>413</v>
      </c>
      <c r="AZ439" s="765">
        <v>15800</v>
      </c>
      <c r="BA439" s="765">
        <v>331</v>
      </c>
      <c r="BB439" s="765">
        <v>1660</v>
      </c>
      <c r="BC439" s="765">
        <v>90</v>
      </c>
      <c r="BD439" s="765">
        <v>2550</v>
      </c>
      <c r="BE439" s="767">
        <v>0.59661422819971632</v>
      </c>
      <c r="BF439" s="768">
        <v>959</v>
      </c>
      <c r="BG439" s="765">
        <v>10300</v>
      </c>
      <c r="BH439" s="765">
        <v>76100</v>
      </c>
      <c r="BI439" s="765">
        <v>95900</v>
      </c>
      <c r="BJ439" s="765">
        <v>297</v>
      </c>
      <c r="BK439" s="765">
        <v>2850</v>
      </c>
      <c r="BL439" s="771">
        <v>7720</v>
      </c>
    </row>
    <row r="440" spans="1:64" x14ac:dyDescent="0.3">
      <c r="AI440" s="763" t="s">
        <v>835</v>
      </c>
      <c r="AJ440" s="764">
        <v>61900</v>
      </c>
      <c r="AK440" s="765">
        <v>1036</v>
      </c>
      <c r="AL440" s="765">
        <v>30</v>
      </c>
      <c r="AM440" s="765">
        <v>308</v>
      </c>
      <c r="AN440" s="765">
        <v>54.1</v>
      </c>
      <c r="AO440" s="767" t="s">
        <v>836</v>
      </c>
      <c r="AP440" s="767">
        <v>59</v>
      </c>
      <c r="AQ440" s="769">
        <v>38</v>
      </c>
      <c r="AR440" s="766">
        <v>40</v>
      </c>
      <c r="AS440" s="766">
        <v>331</v>
      </c>
      <c r="AT440" s="765">
        <v>494</v>
      </c>
      <c r="AU440" s="767">
        <v>2.86</v>
      </c>
      <c r="AV440" s="768">
        <v>29.9</v>
      </c>
      <c r="AW440" s="765">
        <v>10300</v>
      </c>
      <c r="AX440" s="765">
        <v>19800</v>
      </c>
      <c r="AY440" s="765">
        <v>405</v>
      </c>
      <c r="AZ440" s="765">
        <v>14300</v>
      </c>
      <c r="BA440" s="765">
        <v>290</v>
      </c>
      <c r="BB440" s="765">
        <v>1450</v>
      </c>
      <c r="BC440" s="765">
        <v>87.6</v>
      </c>
      <c r="BD440" s="765">
        <v>2240</v>
      </c>
      <c r="BE440" s="767">
        <v>0.58925084067967526</v>
      </c>
      <c r="BF440" s="768">
        <v>954.9</v>
      </c>
      <c r="BG440" s="765">
        <v>7640</v>
      </c>
      <c r="BH440" s="765">
        <v>66000</v>
      </c>
      <c r="BI440" s="765">
        <v>95500</v>
      </c>
      <c r="BJ440" s="765">
        <v>259</v>
      </c>
      <c r="BK440" s="765">
        <v>2480</v>
      </c>
      <c r="BL440" s="771">
        <v>6950</v>
      </c>
    </row>
    <row r="441" spans="1:64" x14ac:dyDescent="0.3">
      <c r="AI441" s="763" t="s">
        <v>837</v>
      </c>
      <c r="AJ441" s="764">
        <v>55600</v>
      </c>
      <c r="AK441" s="765">
        <v>1026</v>
      </c>
      <c r="AL441" s="765">
        <v>26.9</v>
      </c>
      <c r="AM441" s="765">
        <v>305</v>
      </c>
      <c r="AN441" s="765">
        <v>49</v>
      </c>
      <c r="AO441" s="767" t="s">
        <v>838</v>
      </c>
      <c r="AP441" s="767">
        <v>96</v>
      </c>
      <c r="AQ441" s="769">
        <v>48</v>
      </c>
      <c r="AR441" s="766">
        <v>40</v>
      </c>
      <c r="AS441" s="766">
        <v>327</v>
      </c>
      <c r="AT441" s="765">
        <v>486</v>
      </c>
      <c r="AU441" s="767">
        <v>2.85</v>
      </c>
      <c r="AV441" s="768">
        <v>30.9</v>
      </c>
      <c r="AW441" s="765">
        <v>10200</v>
      </c>
      <c r="AX441" s="765">
        <v>19700</v>
      </c>
      <c r="AY441" s="765">
        <v>409</v>
      </c>
      <c r="AZ441" s="765">
        <v>28100</v>
      </c>
      <c r="BA441" s="765">
        <v>334</v>
      </c>
      <c r="BB441" s="765">
        <v>2130</v>
      </c>
      <c r="BC441" s="765">
        <v>67</v>
      </c>
      <c r="BD441" s="765">
        <v>3480</v>
      </c>
      <c r="BE441" s="767">
        <v>0.47133595894886099</v>
      </c>
      <c r="BF441" s="768">
        <v>992</v>
      </c>
      <c r="BG441" s="765">
        <v>71700</v>
      </c>
      <c r="BH441" s="765">
        <v>82300</v>
      </c>
      <c r="BI441" s="765">
        <v>77900</v>
      </c>
      <c r="BJ441" s="765">
        <v>391</v>
      </c>
      <c r="BK441" s="765">
        <v>4410</v>
      </c>
      <c r="BL441" s="771">
        <v>13900</v>
      </c>
    </row>
    <row r="442" spans="1:64" x14ac:dyDescent="0.3">
      <c r="AI442" s="763" t="s">
        <v>839</v>
      </c>
      <c r="AJ442" s="764">
        <v>52800</v>
      </c>
      <c r="AK442" s="765">
        <v>1020</v>
      </c>
      <c r="AL442" s="765">
        <v>25.9</v>
      </c>
      <c r="AM442" s="765">
        <v>304</v>
      </c>
      <c r="AN442" s="765">
        <v>46</v>
      </c>
      <c r="AO442" s="767" t="s">
        <v>840</v>
      </c>
      <c r="AP442" s="767">
        <v>86</v>
      </c>
      <c r="AQ442" s="769">
        <v>46</v>
      </c>
      <c r="AR442" s="766">
        <v>40</v>
      </c>
      <c r="AS442" s="766">
        <v>294</v>
      </c>
      <c r="AT442" s="765">
        <v>438</v>
      </c>
      <c r="AU442" s="767">
        <v>3.11</v>
      </c>
      <c r="AV442" s="768">
        <v>34.5</v>
      </c>
      <c r="AW442" s="765">
        <v>9090</v>
      </c>
      <c r="AX442" s="765">
        <v>17700</v>
      </c>
      <c r="AY442" s="765">
        <v>404</v>
      </c>
      <c r="AZ442" s="765">
        <v>23400</v>
      </c>
      <c r="BA442" s="765">
        <v>268</v>
      </c>
      <c r="BB442" s="765">
        <v>1740</v>
      </c>
      <c r="BC442" s="765">
        <v>65.3</v>
      </c>
      <c r="BD442" s="765">
        <v>2820</v>
      </c>
      <c r="BE442" s="767">
        <v>0.45859273834065062</v>
      </c>
      <c r="BF442" s="768">
        <v>982</v>
      </c>
      <c r="BG442" s="765">
        <v>44000</v>
      </c>
      <c r="BH442" s="765">
        <v>64700</v>
      </c>
      <c r="BI442" s="765">
        <v>75900</v>
      </c>
      <c r="BJ442" s="765">
        <v>316</v>
      </c>
      <c r="BK442" s="765">
        <v>3690</v>
      </c>
      <c r="BL442" s="771">
        <v>11500</v>
      </c>
    </row>
    <row r="443" spans="1:64" ht="13.5" customHeight="1" thickBot="1" x14ac:dyDescent="0.35">
      <c r="A443" s="842"/>
      <c r="B443" s="842"/>
      <c r="C443" s="842"/>
      <c r="D443" s="842"/>
      <c r="E443" s="842"/>
      <c r="F443" s="842"/>
      <c r="G443" s="842"/>
      <c r="H443" s="842"/>
      <c r="I443" s="842"/>
      <c r="J443" s="842"/>
      <c r="K443" s="842"/>
      <c r="L443" s="842"/>
      <c r="M443" s="842"/>
      <c r="N443" s="843"/>
      <c r="O443" s="842"/>
      <c r="P443" s="842"/>
      <c r="Q443" s="842"/>
      <c r="R443" s="842"/>
      <c r="AI443" s="763" t="s">
        <v>841</v>
      </c>
      <c r="AJ443" s="764">
        <v>50000</v>
      </c>
      <c r="AK443" s="765">
        <v>1016</v>
      </c>
      <c r="AL443" s="765">
        <v>24.4</v>
      </c>
      <c r="AM443" s="765">
        <v>303</v>
      </c>
      <c r="AN443" s="765">
        <v>43.9</v>
      </c>
      <c r="AO443" s="767" t="s">
        <v>842</v>
      </c>
      <c r="AP443" s="767">
        <v>86</v>
      </c>
      <c r="AQ443" s="769">
        <v>45</v>
      </c>
      <c r="AR443" s="766">
        <v>40</v>
      </c>
      <c r="AS443" s="766">
        <v>278</v>
      </c>
      <c r="AT443" s="765">
        <v>415</v>
      </c>
      <c r="AU443" s="767">
        <v>3.3</v>
      </c>
      <c r="AV443" s="768">
        <v>35.799999999999997</v>
      </c>
      <c r="AW443" s="765">
        <v>8520</v>
      </c>
      <c r="AX443" s="765">
        <v>16700</v>
      </c>
      <c r="AY443" s="765">
        <v>406</v>
      </c>
      <c r="AZ443" s="765">
        <v>23200</v>
      </c>
      <c r="BA443" s="765">
        <v>266</v>
      </c>
      <c r="BB443" s="765">
        <v>1730</v>
      </c>
      <c r="BC443" s="765">
        <v>65.5</v>
      </c>
      <c r="BD443" s="765">
        <v>2790</v>
      </c>
      <c r="BE443" s="767">
        <v>0.45782742396760928</v>
      </c>
      <c r="BF443" s="768">
        <v>981.9</v>
      </c>
      <c r="BG443" s="765">
        <v>42900</v>
      </c>
      <c r="BH443" s="765">
        <v>64100</v>
      </c>
      <c r="BI443" s="765">
        <v>75600</v>
      </c>
      <c r="BJ443" s="765">
        <v>315</v>
      </c>
      <c r="BK443" s="765">
        <v>3690</v>
      </c>
      <c r="BL443" s="771">
        <v>11400</v>
      </c>
    </row>
    <row r="444" spans="1:64" ht="13.5" customHeight="1" thickTop="1" x14ac:dyDescent="0.3">
      <c r="AI444" s="763" t="s">
        <v>843</v>
      </c>
      <c r="AJ444" s="764">
        <v>44500</v>
      </c>
      <c r="AK444" s="765">
        <v>1008</v>
      </c>
      <c r="AL444" s="765">
        <v>21.1</v>
      </c>
      <c r="AM444" s="765">
        <v>302</v>
      </c>
      <c r="AN444" s="765">
        <v>40</v>
      </c>
      <c r="AO444" s="767" t="s">
        <v>844</v>
      </c>
      <c r="AP444" s="767">
        <v>81</v>
      </c>
      <c r="AQ444" s="769">
        <v>43</v>
      </c>
      <c r="AR444" s="766">
        <v>40</v>
      </c>
      <c r="AS444" s="766">
        <v>264</v>
      </c>
      <c r="AT444" s="765">
        <v>393</v>
      </c>
      <c r="AU444" s="767">
        <v>3.45</v>
      </c>
      <c r="AV444" s="768">
        <v>38</v>
      </c>
      <c r="AW444" s="765">
        <v>8080</v>
      </c>
      <c r="AX444" s="765">
        <v>15900</v>
      </c>
      <c r="AY444" s="765">
        <v>404</v>
      </c>
      <c r="AZ444" s="765">
        <v>20700</v>
      </c>
      <c r="BA444" s="765">
        <v>234</v>
      </c>
      <c r="BB444" s="765">
        <v>1530</v>
      </c>
      <c r="BC444" s="765">
        <v>64.8</v>
      </c>
      <c r="BD444" s="765">
        <v>2460</v>
      </c>
      <c r="BE444" s="767">
        <v>0.45162828131668042</v>
      </c>
      <c r="BF444" s="768">
        <v>977</v>
      </c>
      <c r="BG444" s="765">
        <v>31800</v>
      </c>
      <c r="BH444" s="765">
        <v>55700</v>
      </c>
      <c r="BI444" s="765">
        <v>74500</v>
      </c>
      <c r="BJ444" s="765">
        <v>278</v>
      </c>
      <c r="BK444" s="765">
        <v>3330</v>
      </c>
      <c r="BL444" s="771">
        <v>10200</v>
      </c>
    </row>
    <row r="445" spans="1:64" x14ac:dyDescent="0.3">
      <c r="AI445" s="763" t="s">
        <v>845</v>
      </c>
      <c r="AJ445" s="764">
        <v>40000</v>
      </c>
      <c r="AK445" s="765">
        <v>1000</v>
      </c>
      <c r="AL445" s="765">
        <v>19.100000000000001</v>
      </c>
      <c r="AM445" s="765">
        <v>300</v>
      </c>
      <c r="AN445" s="765">
        <v>35.9</v>
      </c>
      <c r="AO445" s="767" t="s">
        <v>846</v>
      </c>
      <c r="AP445" s="767">
        <v>78</v>
      </c>
      <c r="AQ445" s="769">
        <v>43</v>
      </c>
      <c r="AR445" s="766">
        <v>40</v>
      </c>
      <c r="AS445" s="766">
        <v>235</v>
      </c>
      <c r="AT445" s="765">
        <v>350</v>
      </c>
      <c r="AU445" s="767">
        <v>3.78</v>
      </c>
      <c r="AV445" s="768">
        <v>44</v>
      </c>
      <c r="AW445" s="765">
        <v>7230</v>
      </c>
      <c r="AX445" s="765">
        <v>14300</v>
      </c>
      <c r="AY445" s="765">
        <v>402</v>
      </c>
      <c r="AZ445" s="765">
        <v>19500</v>
      </c>
      <c r="BA445" s="765">
        <v>217</v>
      </c>
      <c r="BB445" s="765">
        <v>1430</v>
      </c>
      <c r="BC445" s="765">
        <v>64.099999999999994</v>
      </c>
      <c r="BD445" s="765">
        <v>2300</v>
      </c>
      <c r="BE445" s="767">
        <v>0.44741290354735702</v>
      </c>
      <c r="BF445" s="768">
        <v>974</v>
      </c>
      <c r="BG445" s="765">
        <v>27000</v>
      </c>
      <c r="BH445" s="765">
        <v>51500</v>
      </c>
      <c r="BI445" s="765">
        <v>74000</v>
      </c>
      <c r="BJ445" s="765">
        <v>259</v>
      </c>
      <c r="BK445" s="765">
        <v>3110</v>
      </c>
      <c r="BL445" s="771">
        <v>9600</v>
      </c>
    </row>
    <row r="446" spans="1:64" x14ac:dyDescent="0.3">
      <c r="AI446" s="763" t="s">
        <v>847</v>
      </c>
      <c r="AJ446" s="764">
        <v>34700</v>
      </c>
      <c r="AK446" s="765">
        <v>990</v>
      </c>
      <c r="AL446" s="765">
        <v>16.5</v>
      </c>
      <c r="AM446" s="765">
        <v>300</v>
      </c>
      <c r="AN446" s="765">
        <v>31</v>
      </c>
      <c r="AO446" s="767" t="s">
        <v>848</v>
      </c>
      <c r="AP446" s="767">
        <v>75</v>
      </c>
      <c r="AQ446" s="765">
        <v>42</v>
      </c>
      <c r="AR446" s="766">
        <v>40</v>
      </c>
      <c r="AS446" s="766">
        <v>211</v>
      </c>
      <c r="AT446" s="765">
        <v>314</v>
      </c>
      <c r="AU446" s="767">
        <v>4.18</v>
      </c>
      <c r="AV446" s="768">
        <v>48.6</v>
      </c>
      <c r="AW446" s="765">
        <v>6440</v>
      </c>
      <c r="AX446" s="765">
        <v>12900</v>
      </c>
      <c r="AY446" s="765">
        <v>402</v>
      </c>
      <c r="AZ446" s="765">
        <v>18500</v>
      </c>
      <c r="BA446" s="765">
        <v>205</v>
      </c>
      <c r="BB446" s="765">
        <v>1350</v>
      </c>
      <c r="BC446" s="765">
        <v>64</v>
      </c>
      <c r="BD446" s="765">
        <v>2170</v>
      </c>
      <c r="BE446" s="767">
        <v>0.44509349126881359</v>
      </c>
      <c r="BF446" s="768">
        <v>972.1</v>
      </c>
      <c r="BG446" s="765">
        <v>23300</v>
      </c>
      <c r="BH446" s="765">
        <v>48400</v>
      </c>
      <c r="BI446" s="765">
        <v>73600</v>
      </c>
      <c r="BJ446" s="765">
        <v>245</v>
      </c>
      <c r="BK446" s="765">
        <v>2970</v>
      </c>
      <c r="BL446" s="771">
        <v>9090</v>
      </c>
    </row>
    <row r="447" spans="1:64" x14ac:dyDescent="0.3">
      <c r="AI447" s="763" t="s">
        <v>849</v>
      </c>
      <c r="AJ447" s="764">
        <v>31700</v>
      </c>
      <c r="AK447" s="765">
        <v>980</v>
      </c>
      <c r="AL447" s="765">
        <v>16.5</v>
      </c>
      <c r="AM447" s="765">
        <v>300</v>
      </c>
      <c r="AN447" s="765">
        <v>26</v>
      </c>
      <c r="AO447" s="767" t="s">
        <v>850</v>
      </c>
      <c r="AP447" s="767">
        <v>72</v>
      </c>
      <c r="AQ447" s="765">
        <v>41</v>
      </c>
      <c r="AR447" s="766">
        <v>40</v>
      </c>
      <c r="AS447" s="766">
        <v>183</v>
      </c>
      <c r="AT447" s="765">
        <v>272</v>
      </c>
      <c r="AU447" s="767">
        <v>4.84</v>
      </c>
      <c r="AV447" s="768">
        <v>56.2</v>
      </c>
      <c r="AW447" s="765">
        <v>5540</v>
      </c>
      <c r="AX447" s="765">
        <v>11200</v>
      </c>
      <c r="AY447" s="765">
        <v>403</v>
      </c>
      <c r="AZ447" s="765">
        <v>16600</v>
      </c>
      <c r="BA447" s="765">
        <v>185</v>
      </c>
      <c r="BB447" s="765">
        <v>1220</v>
      </c>
      <c r="BC447" s="765">
        <v>64.400000000000006</v>
      </c>
      <c r="BD447" s="765">
        <v>1940</v>
      </c>
      <c r="BE447" s="767">
        <v>0.44462701878755839</v>
      </c>
      <c r="BF447" s="768">
        <v>968</v>
      </c>
      <c r="BG447" s="765">
        <v>17200</v>
      </c>
      <c r="BH447" s="765">
        <v>43200</v>
      </c>
      <c r="BI447" s="765">
        <v>73100</v>
      </c>
      <c r="BJ447" s="765">
        <v>221</v>
      </c>
      <c r="BK447" s="765">
        <v>2720</v>
      </c>
      <c r="BL447" s="771">
        <v>8120</v>
      </c>
    </row>
    <row r="448" spans="1:64" x14ac:dyDescent="0.3">
      <c r="AI448" s="763" t="s">
        <v>851</v>
      </c>
      <c r="AJ448" s="764">
        <v>28300</v>
      </c>
      <c r="AK448" s="765">
        <v>970</v>
      </c>
      <c r="AL448" s="765">
        <v>16</v>
      </c>
      <c r="AM448" s="765">
        <v>300</v>
      </c>
      <c r="AN448" s="765">
        <v>21.1</v>
      </c>
      <c r="AO448" s="767" t="s">
        <v>852</v>
      </c>
      <c r="AP448" s="767">
        <v>67</v>
      </c>
      <c r="AQ448" s="769">
        <v>40</v>
      </c>
      <c r="AR448" s="766">
        <v>40</v>
      </c>
      <c r="AS448" s="766">
        <v>167</v>
      </c>
      <c r="AT448" s="765">
        <v>249</v>
      </c>
      <c r="AU448" s="767">
        <v>5.77</v>
      </c>
      <c r="AV448" s="768">
        <v>56.2</v>
      </c>
      <c r="AW448" s="765">
        <v>4810</v>
      </c>
      <c r="AX448" s="765">
        <v>9820</v>
      </c>
      <c r="AY448" s="765">
        <v>401</v>
      </c>
      <c r="AZ448" s="765">
        <v>14900</v>
      </c>
      <c r="BA448" s="765">
        <v>162</v>
      </c>
      <c r="BB448" s="765">
        <v>1080</v>
      </c>
      <c r="BC448" s="765">
        <v>63.7</v>
      </c>
      <c r="BD448" s="765">
        <v>1710</v>
      </c>
      <c r="BE448" s="767">
        <v>0.43769263216053611</v>
      </c>
      <c r="BF448" s="768">
        <v>964.1</v>
      </c>
      <c r="BG448" s="765">
        <v>12600</v>
      </c>
      <c r="BH448" s="765">
        <v>37700</v>
      </c>
      <c r="BI448" s="765">
        <v>72300</v>
      </c>
      <c r="BJ448" s="765">
        <v>195</v>
      </c>
      <c r="BK448" s="765">
        <v>2430</v>
      </c>
      <c r="BL448" s="771">
        <v>7250</v>
      </c>
    </row>
    <row r="449" spans="35:64" x14ac:dyDescent="0.3">
      <c r="AI449" s="763" t="s">
        <v>853</v>
      </c>
      <c r="AJ449" s="764">
        <v>152000</v>
      </c>
      <c r="AK449" s="765">
        <v>1081</v>
      </c>
      <c r="AL449" s="765">
        <v>60.5</v>
      </c>
      <c r="AM449" s="765">
        <v>457</v>
      </c>
      <c r="AN449" s="765">
        <v>109</v>
      </c>
      <c r="AO449" s="767" t="s">
        <v>854</v>
      </c>
      <c r="AP449" s="767">
        <v>63</v>
      </c>
      <c r="AQ449" s="765">
        <v>38</v>
      </c>
      <c r="AR449" s="766">
        <v>40</v>
      </c>
      <c r="AS449" s="766">
        <v>149</v>
      </c>
      <c r="AT449" s="765">
        <v>222</v>
      </c>
      <c r="AU449" s="767">
        <v>7.11</v>
      </c>
      <c r="AV449" s="768">
        <v>58</v>
      </c>
      <c r="AW449" s="765">
        <v>4080</v>
      </c>
      <c r="AX449" s="765">
        <v>8410</v>
      </c>
      <c r="AY449" s="765">
        <v>400</v>
      </c>
      <c r="AZ449" s="765">
        <v>12800</v>
      </c>
      <c r="BA449" s="765">
        <v>140</v>
      </c>
      <c r="BB449" s="765">
        <v>933</v>
      </c>
      <c r="BC449" s="765">
        <v>63.5</v>
      </c>
      <c r="BD449" s="765">
        <v>1470</v>
      </c>
      <c r="BE449" s="767">
        <v>0.43539853709135118</v>
      </c>
      <c r="BF449" s="768">
        <v>959</v>
      </c>
      <c r="BG449" s="765">
        <v>8350</v>
      </c>
      <c r="BH449" s="765">
        <v>32200</v>
      </c>
      <c r="BI449" s="765">
        <v>71900</v>
      </c>
      <c r="BJ449" s="765">
        <v>167</v>
      </c>
      <c r="BK449" s="765">
        <v>2110</v>
      </c>
      <c r="BL449" s="771">
        <v>6240</v>
      </c>
    </row>
    <row r="450" spans="35:64" x14ac:dyDescent="0.3">
      <c r="AI450" s="763" t="s">
        <v>855</v>
      </c>
      <c r="AJ450" s="764">
        <v>124000</v>
      </c>
      <c r="AK450" s="765">
        <v>1043</v>
      </c>
      <c r="AL450" s="765">
        <v>50</v>
      </c>
      <c r="AM450" s="765">
        <v>446</v>
      </c>
      <c r="AN450" s="765">
        <v>89.9</v>
      </c>
      <c r="AO450" s="767" t="s">
        <v>856</v>
      </c>
      <c r="AP450" s="767">
        <v>58</v>
      </c>
      <c r="AQ450" s="765">
        <v>38</v>
      </c>
      <c r="AR450" s="766">
        <v>40</v>
      </c>
      <c r="AS450" s="766">
        <v>800</v>
      </c>
      <c r="AT450" s="765">
        <v>1191</v>
      </c>
      <c r="AU450" s="767">
        <v>2.1</v>
      </c>
      <c r="AV450" s="768">
        <v>14.3</v>
      </c>
      <c r="AW450" s="765">
        <v>27000</v>
      </c>
      <c r="AX450" s="765">
        <v>49900</v>
      </c>
      <c r="AY450" s="765">
        <v>390</v>
      </c>
      <c r="AZ450" s="765">
        <v>11300</v>
      </c>
      <c r="BA450" s="765">
        <v>118</v>
      </c>
      <c r="BB450" s="765">
        <v>783</v>
      </c>
      <c r="BC450" s="765">
        <v>60.9</v>
      </c>
      <c r="BD450" s="765">
        <v>1240</v>
      </c>
      <c r="BE450" s="767">
        <v>0.42515038165289681</v>
      </c>
      <c r="BF450" s="768">
        <v>954</v>
      </c>
      <c r="BG450" s="765">
        <v>5820</v>
      </c>
      <c r="BH450" s="765">
        <v>26700</v>
      </c>
      <c r="BI450" s="765">
        <v>71600</v>
      </c>
      <c r="BJ450" s="765">
        <v>140</v>
      </c>
      <c r="BK450" s="765">
        <v>1760</v>
      </c>
      <c r="BL450" s="771">
        <v>5500</v>
      </c>
    </row>
    <row r="451" spans="35:64" x14ac:dyDescent="0.3">
      <c r="AI451" s="763" t="s">
        <v>857</v>
      </c>
      <c r="AJ451" s="764">
        <v>100000</v>
      </c>
      <c r="AK451" s="765">
        <v>1011</v>
      </c>
      <c r="AL451" s="765">
        <v>40.9</v>
      </c>
      <c r="AM451" s="765">
        <v>437</v>
      </c>
      <c r="AN451" s="765">
        <v>73.900000000000006</v>
      </c>
      <c r="AO451" s="767" t="s">
        <v>858</v>
      </c>
      <c r="AP451" s="767">
        <v>53</v>
      </c>
      <c r="AQ451" s="769">
        <v>38</v>
      </c>
      <c r="AR451" s="766">
        <v>40</v>
      </c>
      <c r="AS451" s="766">
        <v>652</v>
      </c>
      <c r="AT451" s="765">
        <v>970</v>
      </c>
      <c r="AU451" s="767">
        <v>2.48</v>
      </c>
      <c r="AV451" s="768">
        <v>17.3</v>
      </c>
      <c r="AW451" s="765">
        <v>21000</v>
      </c>
      <c r="AX451" s="765">
        <v>40300</v>
      </c>
      <c r="AY451" s="765">
        <v>380</v>
      </c>
      <c r="AZ451" s="765">
        <v>9800</v>
      </c>
      <c r="BA451" s="765">
        <v>95.4</v>
      </c>
      <c r="BB451" s="765">
        <v>636</v>
      </c>
      <c r="BC451" s="765">
        <v>58.1</v>
      </c>
      <c r="BD451" s="765">
        <v>1020</v>
      </c>
      <c r="BE451" s="767">
        <v>0.41266602128320717</v>
      </c>
      <c r="BF451" s="768">
        <v>948.9</v>
      </c>
      <c r="BG451" s="765">
        <v>3900</v>
      </c>
      <c r="BH451" s="765">
        <v>21500</v>
      </c>
      <c r="BI451" s="765">
        <v>71200</v>
      </c>
      <c r="BJ451" s="765">
        <v>113</v>
      </c>
      <c r="BK451" s="765">
        <v>1420</v>
      </c>
      <c r="BL451" s="771">
        <v>4720</v>
      </c>
    </row>
    <row r="452" spans="35:64" x14ac:dyDescent="0.3">
      <c r="AI452" s="763" t="s">
        <v>859</v>
      </c>
      <c r="AJ452" s="764">
        <v>92500</v>
      </c>
      <c r="AK452" s="765">
        <v>999</v>
      </c>
      <c r="AL452" s="765">
        <v>38.1</v>
      </c>
      <c r="AM452" s="765">
        <v>434</v>
      </c>
      <c r="AN452" s="765">
        <v>68.099999999999994</v>
      </c>
      <c r="AO452" s="767" t="s">
        <v>860</v>
      </c>
      <c r="AP452" s="767">
        <v>141</v>
      </c>
      <c r="AQ452" s="769">
        <v>60</v>
      </c>
      <c r="AR452" s="770">
        <v>36</v>
      </c>
      <c r="AS452" s="766">
        <v>529</v>
      </c>
      <c r="AT452" s="765">
        <v>787</v>
      </c>
      <c r="AU452" s="767">
        <v>2.96</v>
      </c>
      <c r="AV452" s="768">
        <v>21.1</v>
      </c>
      <c r="AW452" s="765">
        <v>16500</v>
      </c>
      <c r="AX452" s="765">
        <v>32600</v>
      </c>
      <c r="AY452" s="765">
        <v>421</v>
      </c>
      <c r="AZ452" s="765">
        <v>59900</v>
      </c>
      <c r="BA452" s="765">
        <v>1750</v>
      </c>
      <c r="BB452" s="765">
        <v>7660</v>
      </c>
      <c r="BC452" s="765">
        <v>107</v>
      </c>
      <c r="BD452" s="765">
        <v>12200</v>
      </c>
      <c r="BE452" s="767">
        <v>0.73400117015327393</v>
      </c>
      <c r="BF452" s="768">
        <v>972</v>
      </c>
      <c r="BG452" s="765">
        <v>440000</v>
      </c>
      <c r="BH452" s="765">
        <v>413000</v>
      </c>
      <c r="BI452" s="765">
        <v>111000</v>
      </c>
      <c r="BJ452" s="765">
        <v>1380</v>
      </c>
      <c r="BK452" s="765">
        <v>10500</v>
      </c>
      <c r="BL452" s="771">
        <v>29800</v>
      </c>
    </row>
    <row r="453" spans="35:64" x14ac:dyDescent="0.3">
      <c r="AI453" s="763" t="s">
        <v>861</v>
      </c>
      <c r="AJ453" s="764">
        <v>83700</v>
      </c>
      <c r="AK453" s="765">
        <v>987</v>
      </c>
      <c r="AL453" s="765">
        <v>34.5</v>
      </c>
      <c r="AM453" s="765">
        <v>431</v>
      </c>
      <c r="AN453" s="765">
        <v>62</v>
      </c>
      <c r="AO453" s="767" t="s">
        <v>862</v>
      </c>
      <c r="AP453" s="767">
        <v>121</v>
      </c>
      <c r="AQ453" s="772">
        <v>55</v>
      </c>
      <c r="AR453" s="770">
        <v>36</v>
      </c>
      <c r="AS453" s="766">
        <v>487</v>
      </c>
      <c r="AT453" s="765">
        <v>725</v>
      </c>
      <c r="AU453" s="767">
        <v>3.19</v>
      </c>
      <c r="AV453" s="768">
        <v>22.6</v>
      </c>
      <c r="AW453" s="765">
        <v>15000</v>
      </c>
      <c r="AX453" s="765">
        <v>29900</v>
      </c>
      <c r="AY453" s="765">
        <v>412</v>
      </c>
      <c r="AZ453" s="765">
        <v>47700</v>
      </c>
      <c r="BA453" s="765">
        <v>1340</v>
      </c>
      <c r="BB453" s="765">
        <v>6000</v>
      </c>
      <c r="BC453" s="765">
        <v>104</v>
      </c>
      <c r="BD453" s="765">
        <v>9500</v>
      </c>
      <c r="BE453" s="767">
        <v>0.70768839258827976</v>
      </c>
      <c r="BF453" s="768">
        <v>953.1</v>
      </c>
      <c r="BG453" s="765">
        <v>246000</v>
      </c>
      <c r="BH453" s="765">
        <v>304000</v>
      </c>
      <c r="BI453" s="765">
        <v>106000</v>
      </c>
      <c r="BJ453" s="765">
        <v>1070</v>
      </c>
      <c r="BK453" s="765">
        <v>8480</v>
      </c>
      <c r="BL453" s="771">
        <v>23800</v>
      </c>
    </row>
    <row r="454" spans="35:64" x14ac:dyDescent="0.3">
      <c r="AI454" s="763" t="s">
        <v>863</v>
      </c>
      <c r="AJ454" s="764">
        <v>75000</v>
      </c>
      <c r="AK454" s="765">
        <v>976</v>
      </c>
      <c r="AL454" s="765">
        <v>31</v>
      </c>
      <c r="AM454" s="765">
        <v>427</v>
      </c>
      <c r="AN454" s="765">
        <v>55.9</v>
      </c>
      <c r="AO454" s="767" t="s">
        <v>864</v>
      </c>
      <c r="AP454" s="767">
        <v>105</v>
      </c>
      <c r="AQ454" s="765">
        <v>50</v>
      </c>
      <c r="AR454" s="770">
        <v>36</v>
      </c>
      <c r="AS454" s="766">
        <v>441</v>
      </c>
      <c r="AT454" s="765">
        <v>656</v>
      </c>
      <c r="AU454" s="767">
        <v>3.48</v>
      </c>
      <c r="AV454" s="768">
        <v>25</v>
      </c>
      <c r="AW454" s="765">
        <v>13400</v>
      </c>
      <c r="AX454" s="765">
        <v>27100</v>
      </c>
      <c r="AY454" s="765">
        <v>405</v>
      </c>
      <c r="AZ454" s="765">
        <v>38100</v>
      </c>
      <c r="BA454" s="765">
        <v>1030</v>
      </c>
      <c r="BB454" s="765">
        <v>4730</v>
      </c>
      <c r="BC454" s="765">
        <v>101</v>
      </c>
      <c r="BD454" s="765">
        <v>7430</v>
      </c>
      <c r="BE454" s="767">
        <v>0.68486815119381572</v>
      </c>
      <c r="BF454" s="768">
        <v>937.1</v>
      </c>
      <c r="BG454" s="765">
        <v>136000</v>
      </c>
      <c r="BH454" s="765">
        <v>227000</v>
      </c>
      <c r="BI454" s="765">
        <v>102000</v>
      </c>
      <c r="BJ454" s="765">
        <v>827</v>
      </c>
      <c r="BK454" s="765">
        <v>6860</v>
      </c>
      <c r="BL454" s="771">
        <v>18900</v>
      </c>
    </row>
    <row r="455" spans="35:64" x14ac:dyDescent="0.3">
      <c r="AI455" s="763" t="s">
        <v>865</v>
      </c>
      <c r="AJ455" s="764">
        <v>68400</v>
      </c>
      <c r="AK455" s="765">
        <v>965</v>
      </c>
      <c r="AL455" s="765">
        <v>28.4</v>
      </c>
      <c r="AM455" s="765">
        <v>425</v>
      </c>
      <c r="AN455" s="765">
        <v>51.1</v>
      </c>
      <c r="AO455" s="767" t="s">
        <v>866</v>
      </c>
      <c r="AP455" s="767">
        <v>100</v>
      </c>
      <c r="AQ455" s="769">
        <v>49</v>
      </c>
      <c r="AR455" s="770">
        <v>36</v>
      </c>
      <c r="AS455" s="766">
        <v>395</v>
      </c>
      <c r="AT455" s="765">
        <v>588</v>
      </c>
      <c r="AU455" s="767">
        <v>3.82</v>
      </c>
      <c r="AV455" s="768">
        <v>27.9</v>
      </c>
      <c r="AW455" s="765">
        <v>11900</v>
      </c>
      <c r="AX455" s="765">
        <v>24300</v>
      </c>
      <c r="AY455" s="765">
        <v>402</v>
      </c>
      <c r="AZ455" s="765">
        <v>34800</v>
      </c>
      <c r="BA455" s="765">
        <v>932</v>
      </c>
      <c r="BB455" s="765">
        <v>4300</v>
      </c>
      <c r="BC455" s="765">
        <v>100</v>
      </c>
      <c r="BD455" s="765">
        <v>6740</v>
      </c>
      <c r="BE455" s="767">
        <v>0.6774172107011649</v>
      </c>
      <c r="BF455" s="768">
        <v>930.9</v>
      </c>
      <c r="BG455" s="765">
        <v>107000</v>
      </c>
      <c r="BH455" s="765">
        <v>202000</v>
      </c>
      <c r="BI455" s="765">
        <v>101000</v>
      </c>
      <c r="BJ455" s="765">
        <v>746</v>
      </c>
      <c r="BK455" s="765">
        <v>6270</v>
      </c>
      <c r="BL455" s="771">
        <v>17300</v>
      </c>
    </row>
    <row r="456" spans="35:64" x14ac:dyDescent="0.3">
      <c r="AI456" s="763" t="s">
        <v>867</v>
      </c>
      <c r="AJ456" s="764">
        <v>62500</v>
      </c>
      <c r="AK456" s="765">
        <v>957</v>
      </c>
      <c r="AL456" s="765">
        <v>25.9</v>
      </c>
      <c r="AM456" s="765">
        <v>422</v>
      </c>
      <c r="AN456" s="765">
        <v>47</v>
      </c>
      <c r="AO456" s="767" t="s">
        <v>868</v>
      </c>
      <c r="AP456" s="767">
        <v>94</v>
      </c>
      <c r="AQ456" s="769">
        <v>47</v>
      </c>
      <c r="AR456" s="770">
        <v>36</v>
      </c>
      <c r="AS456" s="766">
        <v>361</v>
      </c>
      <c r="AT456" s="765">
        <v>537</v>
      </c>
      <c r="AU456" s="767">
        <v>4.16</v>
      </c>
      <c r="AV456" s="768">
        <v>30.4</v>
      </c>
      <c r="AW456" s="765">
        <v>10700</v>
      </c>
      <c r="AX456" s="765">
        <v>22200</v>
      </c>
      <c r="AY456" s="765">
        <v>400</v>
      </c>
      <c r="AZ456" s="765">
        <v>31400</v>
      </c>
      <c r="BA456" s="765">
        <v>831</v>
      </c>
      <c r="BB456" s="765">
        <v>3850</v>
      </c>
      <c r="BC456" s="765">
        <v>99.6</v>
      </c>
      <c r="BD456" s="765">
        <v>6030</v>
      </c>
      <c r="BE456" s="767">
        <v>0.66991640207689984</v>
      </c>
      <c r="BF456" s="768">
        <v>925</v>
      </c>
      <c r="BG456" s="765">
        <v>80700</v>
      </c>
      <c r="BH456" s="765">
        <v>178000</v>
      </c>
      <c r="BI456" s="765">
        <v>99700</v>
      </c>
      <c r="BJ456" s="765">
        <v>666</v>
      </c>
      <c r="BK456" s="765">
        <v>5680</v>
      </c>
      <c r="BL456" s="771">
        <v>15600</v>
      </c>
    </row>
    <row r="457" spans="35:64" x14ac:dyDescent="0.3">
      <c r="AI457" s="763" t="s">
        <v>869</v>
      </c>
      <c r="AJ457" s="764">
        <v>57300</v>
      </c>
      <c r="AK457" s="765">
        <v>948</v>
      </c>
      <c r="AL457" s="765">
        <v>24</v>
      </c>
      <c r="AM457" s="765">
        <v>423</v>
      </c>
      <c r="AN457" s="765">
        <v>42.7</v>
      </c>
      <c r="AO457" s="767" t="s">
        <v>870</v>
      </c>
      <c r="AP457" s="767">
        <v>87</v>
      </c>
      <c r="AQ457" s="765">
        <v>46</v>
      </c>
      <c r="AR457" s="770">
        <v>36</v>
      </c>
      <c r="AS457" s="766">
        <v>330</v>
      </c>
      <c r="AT457" s="765">
        <v>491</v>
      </c>
      <c r="AU457" s="767">
        <v>4.49</v>
      </c>
      <c r="AV457" s="768">
        <v>33.299999999999997</v>
      </c>
      <c r="AW457" s="765">
        <v>9700</v>
      </c>
      <c r="AX457" s="765">
        <v>20300</v>
      </c>
      <c r="AY457" s="765">
        <v>398</v>
      </c>
      <c r="AZ457" s="765">
        <v>28000</v>
      </c>
      <c r="BA457" s="765">
        <v>728</v>
      </c>
      <c r="BB457" s="765">
        <v>3410</v>
      </c>
      <c r="BC457" s="765">
        <v>98.5</v>
      </c>
      <c r="BD457" s="765">
        <v>5310</v>
      </c>
      <c r="BE457" s="767">
        <v>0.66010023632983983</v>
      </c>
      <c r="BF457" s="768">
        <v>920.1</v>
      </c>
      <c r="BG457" s="765">
        <v>59100</v>
      </c>
      <c r="BH457" s="765">
        <v>154000</v>
      </c>
      <c r="BI457" s="765">
        <v>98200</v>
      </c>
      <c r="BJ457" s="765">
        <v>586</v>
      </c>
      <c r="BK457" s="765">
        <v>5090</v>
      </c>
      <c r="BL457" s="771">
        <v>13900</v>
      </c>
    </row>
    <row r="458" spans="35:64" x14ac:dyDescent="0.3">
      <c r="AI458" s="763" t="s">
        <v>871</v>
      </c>
      <c r="AJ458" s="764">
        <v>53600</v>
      </c>
      <c r="AK458" s="765">
        <v>943</v>
      </c>
      <c r="AL458" s="765">
        <v>22.5</v>
      </c>
      <c r="AM458" s="765">
        <v>422</v>
      </c>
      <c r="AN458" s="765">
        <v>39.9</v>
      </c>
      <c r="AO458" s="767" t="s">
        <v>872</v>
      </c>
      <c r="AP458" s="767">
        <v>83</v>
      </c>
      <c r="AQ458" s="769">
        <v>44</v>
      </c>
      <c r="AR458" s="770">
        <v>36</v>
      </c>
      <c r="AS458" s="766">
        <v>302</v>
      </c>
      <c r="AT458" s="765">
        <v>449</v>
      </c>
      <c r="AU458" s="767">
        <v>4.95</v>
      </c>
      <c r="AV458" s="768">
        <v>35.9</v>
      </c>
      <c r="AW458" s="765">
        <v>8780</v>
      </c>
      <c r="AX458" s="765">
        <v>18500</v>
      </c>
      <c r="AY458" s="765">
        <v>395</v>
      </c>
      <c r="AZ458" s="765">
        <v>25300</v>
      </c>
      <c r="BA458" s="765">
        <v>656</v>
      </c>
      <c r="BB458" s="765">
        <v>3090</v>
      </c>
      <c r="BC458" s="765">
        <v>97.9</v>
      </c>
      <c r="BD458" s="765">
        <v>4800</v>
      </c>
      <c r="BE458" s="767">
        <v>0.65347595845580453</v>
      </c>
      <c r="BF458" s="768">
        <v>913.9</v>
      </c>
      <c r="BG458" s="765">
        <v>45300</v>
      </c>
      <c r="BH458" s="765">
        <v>137000</v>
      </c>
      <c r="BI458" s="765">
        <v>97100</v>
      </c>
      <c r="BJ458" s="765">
        <v>527</v>
      </c>
      <c r="BK458" s="765">
        <v>4630</v>
      </c>
      <c r="BL458" s="771">
        <v>12600</v>
      </c>
    </row>
    <row r="459" spans="35:64" x14ac:dyDescent="0.3">
      <c r="AI459" s="763" t="s">
        <v>873</v>
      </c>
      <c r="AJ459" s="764">
        <v>49600</v>
      </c>
      <c r="AK459" s="765">
        <v>936</v>
      </c>
      <c r="AL459" s="765">
        <v>21.3</v>
      </c>
      <c r="AM459" s="765">
        <v>420</v>
      </c>
      <c r="AN459" s="765">
        <v>36.6</v>
      </c>
      <c r="AO459" s="767" t="s">
        <v>874</v>
      </c>
      <c r="AP459" s="767">
        <v>79</v>
      </c>
      <c r="AQ459" s="765">
        <v>43</v>
      </c>
      <c r="AR459" s="770">
        <v>36</v>
      </c>
      <c r="AS459" s="766">
        <v>282</v>
      </c>
      <c r="AT459" s="765">
        <v>420</v>
      </c>
      <c r="AU459" s="767">
        <v>5.29</v>
      </c>
      <c r="AV459" s="768">
        <v>38.4</v>
      </c>
      <c r="AW459" s="765">
        <v>8170</v>
      </c>
      <c r="AX459" s="765">
        <v>17300</v>
      </c>
      <c r="AY459" s="765">
        <v>394</v>
      </c>
      <c r="AZ459" s="765">
        <v>23100</v>
      </c>
      <c r="BA459" s="765">
        <v>590</v>
      </c>
      <c r="BB459" s="765">
        <v>2800</v>
      </c>
      <c r="BC459" s="765">
        <v>97.2</v>
      </c>
      <c r="BD459" s="765">
        <v>4340</v>
      </c>
      <c r="BE459" s="767">
        <v>0.64647977353537733</v>
      </c>
      <c r="BF459" s="768">
        <v>910</v>
      </c>
      <c r="BG459" s="765">
        <v>35100</v>
      </c>
      <c r="BH459" s="765">
        <v>122000</v>
      </c>
      <c r="BI459" s="765">
        <v>96000</v>
      </c>
      <c r="BJ459" s="765">
        <v>476</v>
      </c>
      <c r="BK459" s="765">
        <v>4240</v>
      </c>
      <c r="BL459" s="771">
        <v>11400</v>
      </c>
    </row>
    <row r="460" spans="35:64" x14ac:dyDescent="0.3">
      <c r="AI460" s="763" t="s">
        <v>875</v>
      </c>
      <c r="AJ460" s="764">
        <v>46700</v>
      </c>
      <c r="AK460" s="765">
        <v>931</v>
      </c>
      <c r="AL460" s="765">
        <v>20.3</v>
      </c>
      <c r="AM460" s="765">
        <v>419</v>
      </c>
      <c r="AN460" s="765">
        <v>34.299999999999997</v>
      </c>
      <c r="AO460" s="767" t="s">
        <v>876</v>
      </c>
      <c r="AP460" s="767">
        <v>74</v>
      </c>
      <c r="AQ460" s="769">
        <v>42</v>
      </c>
      <c r="AR460" s="770">
        <v>36</v>
      </c>
      <c r="AS460" s="766">
        <v>262</v>
      </c>
      <c r="AT460" s="765">
        <v>390</v>
      </c>
      <c r="AU460" s="767">
        <v>5.74</v>
      </c>
      <c r="AV460" s="768">
        <v>40.5</v>
      </c>
      <c r="AW460" s="765">
        <v>7450</v>
      </c>
      <c r="AX460" s="765">
        <v>15900</v>
      </c>
      <c r="AY460" s="765">
        <v>391</v>
      </c>
      <c r="AZ460" s="765">
        <v>21000</v>
      </c>
      <c r="BA460" s="765">
        <v>540</v>
      </c>
      <c r="BB460" s="765">
        <v>2550</v>
      </c>
      <c r="BC460" s="765">
        <v>97</v>
      </c>
      <c r="BD460" s="765">
        <v>3950</v>
      </c>
      <c r="BE460" s="767">
        <v>0.64690918951406884</v>
      </c>
      <c r="BF460" s="768">
        <v>905.3</v>
      </c>
      <c r="BG460" s="765">
        <v>26800</v>
      </c>
      <c r="BH460" s="765">
        <v>111000</v>
      </c>
      <c r="BI460" s="765">
        <v>95700</v>
      </c>
      <c r="BJ460" s="765">
        <v>432</v>
      </c>
      <c r="BK460" s="765">
        <v>3860</v>
      </c>
      <c r="BL460" s="771">
        <v>10400</v>
      </c>
    </row>
    <row r="461" spans="35:64" x14ac:dyDescent="0.3">
      <c r="AI461" s="763" t="s">
        <v>877</v>
      </c>
      <c r="AJ461" s="764">
        <v>43900</v>
      </c>
      <c r="AK461" s="765">
        <v>927</v>
      </c>
      <c r="AL461" s="765">
        <v>19.3</v>
      </c>
      <c r="AM461" s="765">
        <v>418</v>
      </c>
      <c r="AN461" s="765">
        <v>32</v>
      </c>
      <c r="AO461" s="767" t="s">
        <v>878</v>
      </c>
      <c r="AP461" s="767">
        <v>71</v>
      </c>
      <c r="AQ461" s="769">
        <v>41</v>
      </c>
      <c r="AR461" s="770">
        <v>36</v>
      </c>
      <c r="AS461" s="766">
        <v>247</v>
      </c>
      <c r="AT461" s="765">
        <v>368</v>
      </c>
      <c r="AU461" s="767">
        <v>6.11</v>
      </c>
      <c r="AV461" s="768">
        <v>42.5</v>
      </c>
      <c r="AW461" s="765">
        <v>6960</v>
      </c>
      <c r="AX461" s="765">
        <v>14900</v>
      </c>
      <c r="AY461" s="765">
        <v>390</v>
      </c>
      <c r="AZ461" s="765">
        <v>19600</v>
      </c>
      <c r="BA461" s="765">
        <v>501</v>
      </c>
      <c r="BB461" s="765">
        <v>2370</v>
      </c>
      <c r="BC461" s="765">
        <v>96.7</v>
      </c>
      <c r="BD461" s="765">
        <v>3670</v>
      </c>
      <c r="BE461" s="767">
        <v>0.64281562229557754</v>
      </c>
      <c r="BF461" s="768">
        <v>903.1</v>
      </c>
      <c r="BG461" s="765">
        <v>22000</v>
      </c>
      <c r="BH461" s="765">
        <v>102000</v>
      </c>
      <c r="BI461" s="765">
        <v>95300</v>
      </c>
      <c r="BJ461" s="765">
        <v>401</v>
      </c>
      <c r="BK461" s="765">
        <v>3600</v>
      </c>
      <c r="BL461" s="771">
        <v>9700</v>
      </c>
    </row>
    <row r="462" spans="35:64" x14ac:dyDescent="0.3">
      <c r="AI462" s="763" t="s">
        <v>879</v>
      </c>
      <c r="AJ462" s="764">
        <v>48600</v>
      </c>
      <c r="AK462" s="765">
        <v>951</v>
      </c>
      <c r="AL462" s="765">
        <v>24.4</v>
      </c>
      <c r="AM462" s="765">
        <v>310</v>
      </c>
      <c r="AN462" s="765">
        <v>43.9</v>
      </c>
      <c r="AO462" s="767" t="s">
        <v>880</v>
      </c>
      <c r="AP462" s="767">
        <v>68</v>
      </c>
      <c r="AQ462" s="769">
        <v>41</v>
      </c>
      <c r="AR462" s="770">
        <v>36</v>
      </c>
      <c r="AS462" s="766">
        <v>231</v>
      </c>
      <c r="AT462" s="765">
        <v>344</v>
      </c>
      <c r="AU462" s="767">
        <v>6.53</v>
      </c>
      <c r="AV462" s="768">
        <v>44.7</v>
      </c>
      <c r="AW462" s="765">
        <v>6480</v>
      </c>
      <c r="AX462" s="765">
        <v>14000</v>
      </c>
      <c r="AY462" s="765">
        <v>388</v>
      </c>
      <c r="AZ462" s="765">
        <v>18000</v>
      </c>
      <c r="BA462" s="765">
        <v>453</v>
      </c>
      <c r="BB462" s="765">
        <v>2160</v>
      </c>
      <c r="BC462" s="765">
        <v>95.5</v>
      </c>
      <c r="BD462" s="765">
        <v>3330</v>
      </c>
      <c r="BE462" s="767">
        <v>0.63650212331460276</v>
      </c>
      <c r="BF462" s="768">
        <v>899.4</v>
      </c>
      <c r="BG462" s="765">
        <v>17300</v>
      </c>
      <c r="BH462" s="765">
        <v>91600</v>
      </c>
      <c r="BI462" s="765">
        <v>94400</v>
      </c>
      <c r="BJ462" s="765">
        <v>363</v>
      </c>
      <c r="BK462" s="765">
        <v>3280</v>
      </c>
      <c r="BL462" s="771">
        <v>8890</v>
      </c>
    </row>
    <row r="463" spans="35:64" x14ac:dyDescent="0.3">
      <c r="AI463" s="763" t="s">
        <v>881</v>
      </c>
      <c r="AJ463" s="764">
        <v>44000</v>
      </c>
      <c r="AK463" s="765">
        <v>943</v>
      </c>
      <c r="AL463" s="765">
        <v>22.1</v>
      </c>
      <c r="AM463" s="765">
        <v>308</v>
      </c>
      <c r="AN463" s="765">
        <v>39.9</v>
      </c>
      <c r="AO463" s="767" t="s">
        <v>882</v>
      </c>
      <c r="AP463" s="767">
        <v>66</v>
      </c>
      <c r="AQ463" s="765">
        <v>40</v>
      </c>
      <c r="AR463" s="770">
        <v>36</v>
      </c>
      <c r="AS463" s="766">
        <v>256</v>
      </c>
      <c r="AT463" s="765">
        <v>381</v>
      </c>
      <c r="AU463" s="767">
        <v>3.53</v>
      </c>
      <c r="AV463" s="768">
        <v>35.4</v>
      </c>
      <c r="AW463" s="765">
        <v>6970</v>
      </c>
      <c r="AX463" s="765">
        <v>14700</v>
      </c>
      <c r="AY463" s="765">
        <v>386</v>
      </c>
      <c r="AZ463" s="765">
        <v>16900</v>
      </c>
      <c r="BA463" s="765">
        <v>421</v>
      </c>
      <c r="BB463" s="765">
        <v>2010</v>
      </c>
      <c r="BC463" s="765">
        <v>94.9</v>
      </c>
      <c r="BD463" s="765">
        <v>3110</v>
      </c>
      <c r="BE463" s="767">
        <v>0.63306491080090255</v>
      </c>
      <c r="BF463" s="768">
        <v>896.7</v>
      </c>
      <c r="BG463" s="765">
        <v>14500</v>
      </c>
      <c r="BH463" s="765">
        <v>84700</v>
      </c>
      <c r="BI463" s="765">
        <v>93900</v>
      </c>
      <c r="BJ463" s="765">
        <v>337</v>
      </c>
      <c r="BK463" s="765">
        <v>3070</v>
      </c>
      <c r="BL463" s="771">
        <v>8330</v>
      </c>
    </row>
    <row r="464" spans="35:64" x14ac:dyDescent="0.3">
      <c r="AI464" s="763" t="s">
        <v>883</v>
      </c>
      <c r="AJ464" s="764">
        <v>39800</v>
      </c>
      <c r="AK464" s="765">
        <v>932</v>
      </c>
      <c r="AL464" s="765">
        <v>21.1</v>
      </c>
      <c r="AM464" s="765">
        <v>309</v>
      </c>
      <c r="AN464" s="765">
        <v>34.5</v>
      </c>
      <c r="AO464" s="767" t="s">
        <v>884</v>
      </c>
      <c r="AP464" s="767">
        <v>64</v>
      </c>
      <c r="AQ464" s="769">
        <v>40</v>
      </c>
      <c r="AR464" s="770">
        <v>36</v>
      </c>
      <c r="AS464" s="766">
        <v>232</v>
      </c>
      <c r="AT464" s="765">
        <v>345</v>
      </c>
      <c r="AU464" s="767">
        <v>3.86</v>
      </c>
      <c r="AV464" s="768">
        <v>39.1</v>
      </c>
      <c r="AW464" s="765">
        <v>6260</v>
      </c>
      <c r="AX464" s="765">
        <v>13300</v>
      </c>
      <c r="AY464" s="765">
        <v>384</v>
      </c>
      <c r="AZ464" s="765">
        <v>15800</v>
      </c>
      <c r="BA464" s="765">
        <v>390</v>
      </c>
      <c r="BB464" s="765">
        <v>1870</v>
      </c>
      <c r="BC464" s="765">
        <v>94.3</v>
      </c>
      <c r="BD464" s="765">
        <v>2880</v>
      </c>
      <c r="BE464" s="767">
        <v>0.62786300227170111</v>
      </c>
      <c r="BF464" s="768">
        <v>895</v>
      </c>
      <c r="BG464" s="765">
        <v>11900</v>
      </c>
      <c r="BH464" s="765">
        <v>78100</v>
      </c>
      <c r="BI464" s="765">
        <v>93500</v>
      </c>
      <c r="BJ464" s="765">
        <v>313</v>
      </c>
      <c r="BK464" s="765">
        <v>2850</v>
      </c>
      <c r="BL464" s="771">
        <v>7780</v>
      </c>
    </row>
    <row r="465" spans="35:64" x14ac:dyDescent="0.3">
      <c r="AI465" s="763" t="s">
        <v>885</v>
      </c>
      <c r="AJ465" s="764">
        <v>36800</v>
      </c>
      <c r="AK465" s="765">
        <v>927</v>
      </c>
      <c r="AL465" s="765">
        <v>19.399999999999999</v>
      </c>
      <c r="AM465" s="765">
        <v>308</v>
      </c>
      <c r="AN465" s="765">
        <v>32</v>
      </c>
      <c r="AO465" s="767" t="s">
        <v>886</v>
      </c>
      <c r="AP465" s="767">
        <v>66</v>
      </c>
      <c r="AQ465" s="769">
        <v>33</v>
      </c>
      <c r="AR465" s="770">
        <v>36</v>
      </c>
      <c r="AS465" s="766">
        <v>210</v>
      </c>
      <c r="AT465" s="765">
        <v>313</v>
      </c>
      <c r="AU465" s="767">
        <v>4.4800000000000004</v>
      </c>
      <c r="AV465" s="768">
        <v>40.9</v>
      </c>
      <c r="AW465" s="765">
        <v>5480</v>
      </c>
      <c r="AX465" s="765">
        <v>11800</v>
      </c>
      <c r="AY465" s="765">
        <v>379</v>
      </c>
      <c r="AZ465" s="765">
        <v>17000</v>
      </c>
      <c r="BA465" s="765">
        <v>219</v>
      </c>
      <c r="BB465" s="765">
        <v>1410</v>
      </c>
      <c r="BC465" s="765">
        <v>67.099999999999994</v>
      </c>
      <c r="BD465" s="765">
        <v>2240</v>
      </c>
      <c r="BE465" s="767">
        <v>0.46237729166237168</v>
      </c>
      <c r="BF465" s="768">
        <v>907.1</v>
      </c>
      <c r="BG465" s="765">
        <v>22000</v>
      </c>
      <c r="BH465" s="765">
        <v>45100</v>
      </c>
      <c r="BI465" s="765">
        <v>70300</v>
      </c>
      <c r="BJ465" s="765">
        <v>239</v>
      </c>
      <c r="BK465" s="765">
        <v>2840</v>
      </c>
      <c r="BL465" s="771">
        <v>8440</v>
      </c>
    </row>
    <row r="466" spans="35:64" x14ac:dyDescent="0.3">
      <c r="AI466" s="763" t="s">
        <v>887</v>
      </c>
      <c r="AJ466" s="764">
        <v>34600</v>
      </c>
      <c r="AK466" s="765">
        <v>923</v>
      </c>
      <c r="AL466" s="765">
        <v>18.399999999999999</v>
      </c>
      <c r="AM466" s="765">
        <v>307</v>
      </c>
      <c r="AN466" s="765">
        <v>30</v>
      </c>
      <c r="AO466" s="767" t="s">
        <v>888</v>
      </c>
      <c r="AP466" s="767">
        <v>62</v>
      </c>
      <c r="AQ466" s="769">
        <v>31</v>
      </c>
      <c r="AR466" s="770">
        <v>36</v>
      </c>
      <c r="AS466" s="766">
        <v>194</v>
      </c>
      <c r="AT466" s="765">
        <v>289</v>
      </c>
      <c r="AU466" s="767">
        <v>4.8099999999999996</v>
      </c>
      <c r="AV466" s="768">
        <v>44.5</v>
      </c>
      <c r="AW466" s="765">
        <v>5050</v>
      </c>
      <c r="AX466" s="765">
        <v>10900</v>
      </c>
      <c r="AY466" s="765">
        <v>377</v>
      </c>
      <c r="AZ466" s="765">
        <v>15300</v>
      </c>
      <c r="BA466" s="765">
        <v>195</v>
      </c>
      <c r="BB466" s="765">
        <v>1270</v>
      </c>
      <c r="BC466" s="765">
        <v>66.599999999999994</v>
      </c>
      <c r="BD466" s="765">
        <v>2000</v>
      </c>
      <c r="BE466" s="767">
        <v>0.45767121691948898</v>
      </c>
      <c r="BF466" s="768">
        <v>903.1</v>
      </c>
      <c r="BG466" s="765">
        <v>16500</v>
      </c>
      <c r="BH466" s="765">
        <v>39800</v>
      </c>
      <c r="BI466" s="765">
        <v>69500</v>
      </c>
      <c r="BJ466" s="765">
        <v>214</v>
      </c>
      <c r="BK466" s="765">
        <v>2580</v>
      </c>
      <c r="BL466" s="771">
        <v>7610</v>
      </c>
    </row>
    <row r="467" spans="35:64" x14ac:dyDescent="0.3">
      <c r="AI467" s="763" t="s">
        <v>889</v>
      </c>
      <c r="AJ467" s="764">
        <v>32300</v>
      </c>
      <c r="AK467" s="765">
        <v>919</v>
      </c>
      <c r="AL467" s="765">
        <v>17.3</v>
      </c>
      <c r="AM467" s="765">
        <v>306</v>
      </c>
      <c r="AN467" s="765">
        <v>27.9</v>
      </c>
      <c r="AO467" s="767" t="s">
        <v>890</v>
      </c>
      <c r="AP467" s="767">
        <v>56</v>
      </c>
      <c r="AQ467" s="769">
        <v>31</v>
      </c>
      <c r="AR467" s="770">
        <v>36</v>
      </c>
      <c r="AS467" s="766">
        <v>182</v>
      </c>
      <c r="AT467" s="765">
        <v>271</v>
      </c>
      <c r="AU467" s="767">
        <v>5.12</v>
      </c>
      <c r="AV467" s="768">
        <v>46.9</v>
      </c>
      <c r="AW467" s="765">
        <v>4720</v>
      </c>
      <c r="AX467" s="765">
        <v>10200</v>
      </c>
      <c r="AY467" s="765">
        <v>371</v>
      </c>
      <c r="AZ467" s="765">
        <v>13600</v>
      </c>
      <c r="BA467" s="765">
        <v>170</v>
      </c>
      <c r="BB467" s="765">
        <v>1100</v>
      </c>
      <c r="BC467" s="765">
        <v>65.400000000000006</v>
      </c>
      <c r="BD467" s="765">
        <v>1750</v>
      </c>
      <c r="BE467" s="767">
        <v>0.45237100076139758</v>
      </c>
      <c r="BF467" s="768">
        <v>897.5</v>
      </c>
      <c r="BG467" s="765">
        <v>11600</v>
      </c>
      <c r="BH467" s="765">
        <v>34300</v>
      </c>
      <c r="BI467" s="765">
        <v>69300</v>
      </c>
      <c r="BJ467" s="765">
        <v>185</v>
      </c>
      <c r="BK467" s="765">
        <v>2230</v>
      </c>
      <c r="BL467" s="771">
        <v>6750</v>
      </c>
    </row>
    <row r="468" spans="35:64" x14ac:dyDescent="0.3">
      <c r="AI468" s="763" t="s">
        <v>891</v>
      </c>
      <c r="AJ468" s="764">
        <v>30400</v>
      </c>
      <c r="AK468" s="765">
        <v>915</v>
      </c>
      <c r="AL468" s="765">
        <v>16.5</v>
      </c>
      <c r="AM468" s="765">
        <v>305</v>
      </c>
      <c r="AN468" s="765">
        <v>25.9</v>
      </c>
      <c r="AO468" s="767" t="s">
        <v>892</v>
      </c>
      <c r="AP468" s="767">
        <v>54</v>
      </c>
      <c r="AQ468" s="765">
        <v>30</v>
      </c>
      <c r="AR468" s="770">
        <v>36</v>
      </c>
      <c r="AS468" s="766">
        <v>170</v>
      </c>
      <c r="AT468" s="765">
        <v>253</v>
      </c>
      <c r="AU468" s="767">
        <v>5.48</v>
      </c>
      <c r="AV468" s="768">
        <v>49.9</v>
      </c>
      <c r="AW468" s="765">
        <v>4380</v>
      </c>
      <c r="AX468" s="765">
        <v>9520</v>
      </c>
      <c r="AY468" s="765">
        <v>370</v>
      </c>
      <c r="AZ468" s="765">
        <v>12600</v>
      </c>
      <c r="BA468" s="765">
        <v>156</v>
      </c>
      <c r="BB468" s="765">
        <v>1020</v>
      </c>
      <c r="BC468" s="765">
        <v>65.2</v>
      </c>
      <c r="BD468" s="765">
        <v>1600</v>
      </c>
      <c r="BE468" s="767">
        <v>0.45025027319462813</v>
      </c>
      <c r="BF468" s="768">
        <v>895</v>
      </c>
      <c r="BG468" s="765">
        <v>9230</v>
      </c>
      <c r="BH468" s="765">
        <v>31300</v>
      </c>
      <c r="BI468" s="765">
        <v>68900</v>
      </c>
      <c r="BJ468" s="765">
        <v>170</v>
      </c>
      <c r="BK468" s="765">
        <v>2070</v>
      </c>
      <c r="BL468" s="771">
        <v>6220</v>
      </c>
    </row>
    <row r="469" spans="35:64" x14ac:dyDescent="0.3">
      <c r="AI469" s="763" t="s">
        <v>893</v>
      </c>
      <c r="AJ469" s="764">
        <v>28600</v>
      </c>
      <c r="AK469" s="765">
        <v>911</v>
      </c>
      <c r="AL469" s="765">
        <v>15.9</v>
      </c>
      <c r="AM469" s="765">
        <v>304</v>
      </c>
      <c r="AN469" s="765">
        <v>23.9</v>
      </c>
      <c r="AO469" s="767" t="s">
        <v>894</v>
      </c>
      <c r="AP469" s="767">
        <v>52</v>
      </c>
      <c r="AQ469" s="769">
        <v>30</v>
      </c>
      <c r="AR469" s="770">
        <v>36</v>
      </c>
      <c r="AS469" s="766">
        <v>160</v>
      </c>
      <c r="AT469" s="765">
        <v>238</v>
      </c>
      <c r="AU469" s="767">
        <v>5.89</v>
      </c>
      <c r="AV469" s="768">
        <v>52.3</v>
      </c>
      <c r="AW469" s="765">
        <v>4060</v>
      </c>
      <c r="AX469" s="765">
        <v>8880</v>
      </c>
      <c r="AY469" s="765">
        <v>369</v>
      </c>
      <c r="AZ469" s="765">
        <v>11800</v>
      </c>
      <c r="BA469" s="765">
        <v>145</v>
      </c>
      <c r="BB469" s="765">
        <v>946</v>
      </c>
      <c r="BC469" s="765">
        <v>64.8</v>
      </c>
      <c r="BD469" s="765">
        <v>1490</v>
      </c>
      <c r="BE469" s="767">
        <v>0.44798799423630942</v>
      </c>
      <c r="BF469" s="768">
        <v>893</v>
      </c>
      <c r="BG469" s="765">
        <v>7700</v>
      </c>
      <c r="BH469" s="765">
        <v>28900</v>
      </c>
      <c r="BI469" s="765">
        <v>68500</v>
      </c>
      <c r="BJ469" s="765">
        <v>158</v>
      </c>
      <c r="BK469" s="765">
        <v>1930</v>
      </c>
      <c r="BL469" s="771">
        <v>5830</v>
      </c>
    </row>
    <row r="470" spans="35:64" x14ac:dyDescent="0.3">
      <c r="AI470" s="763" t="s">
        <v>895</v>
      </c>
      <c r="AJ470" s="764">
        <v>25600</v>
      </c>
      <c r="AK470" s="765">
        <v>903</v>
      </c>
      <c r="AL470" s="765">
        <v>15.2</v>
      </c>
      <c r="AM470" s="765">
        <v>304</v>
      </c>
      <c r="AN470" s="765">
        <v>20.100000000000001</v>
      </c>
      <c r="AO470" s="767" t="s">
        <v>896</v>
      </c>
      <c r="AP470" s="767">
        <v>50</v>
      </c>
      <c r="AQ470" s="765">
        <v>29</v>
      </c>
      <c r="AR470" s="770">
        <v>36</v>
      </c>
      <c r="AS470" s="766">
        <v>150</v>
      </c>
      <c r="AT470" s="765">
        <v>223</v>
      </c>
      <c r="AU470" s="767">
        <v>6.36</v>
      </c>
      <c r="AV470" s="768">
        <v>54.3</v>
      </c>
      <c r="AW470" s="765">
        <v>3770</v>
      </c>
      <c r="AX470" s="765">
        <v>8270</v>
      </c>
      <c r="AY470" s="765">
        <v>368</v>
      </c>
      <c r="AZ470" s="765">
        <v>11000</v>
      </c>
      <c r="BA470" s="765">
        <v>134</v>
      </c>
      <c r="BB470" s="765">
        <v>874</v>
      </c>
      <c r="BC470" s="765">
        <v>64.3</v>
      </c>
      <c r="BD470" s="765">
        <v>1370</v>
      </c>
      <c r="BE470" s="767">
        <v>0.44490695395646013</v>
      </c>
      <c r="BF470" s="768">
        <v>891.1</v>
      </c>
      <c r="BG470" s="765">
        <v>6270</v>
      </c>
      <c r="BH470" s="765">
        <v>26500</v>
      </c>
      <c r="BI470" s="765">
        <v>68200</v>
      </c>
      <c r="BJ470" s="765">
        <v>145</v>
      </c>
      <c r="BK470" s="765">
        <v>1790</v>
      </c>
      <c r="BL470" s="771">
        <v>5420</v>
      </c>
    </row>
    <row r="471" spans="35:64" x14ac:dyDescent="0.3">
      <c r="AI471" s="763" t="s">
        <v>897</v>
      </c>
      <c r="AJ471" s="764">
        <v>73400</v>
      </c>
      <c r="AK471" s="765">
        <v>913</v>
      </c>
      <c r="AL471" s="765">
        <v>32</v>
      </c>
      <c r="AM471" s="765">
        <v>411</v>
      </c>
      <c r="AN471" s="765">
        <v>57.9</v>
      </c>
      <c r="AO471" s="767" t="s">
        <v>898</v>
      </c>
      <c r="AP471" s="767">
        <v>48</v>
      </c>
      <c r="AQ471" s="769">
        <v>29</v>
      </c>
      <c r="AR471" s="770">
        <v>36</v>
      </c>
      <c r="AS471" s="766">
        <v>135</v>
      </c>
      <c r="AT471" s="765">
        <v>201</v>
      </c>
      <c r="AU471" s="767">
        <v>7.56</v>
      </c>
      <c r="AV471" s="768">
        <v>56.8</v>
      </c>
      <c r="AW471" s="765">
        <v>3250</v>
      </c>
      <c r="AX471" s="765">
        <v>7200</v>
      </c>
      <c r="AY471" s="765">
        <v>366</v>
      </c>
      <c r="AZ471" s="765">
        <v>10200</v>
      </c>
      <c r="BA471" s="765">
        <v>123</v>
      </c>
      <c r="BB471" s="765">
        <v>806</v>
      </c>
      <c r="BC471" s="765">
        <v>63.6</v>
      </c>
      <c r="BD471" s="765">
        <v>1270</v>
      </c>
      <c r="BE471" s="767">
        <v>0.44123643129315948</v>
      </c>
      <c r="BF471" s="768">
        <v>889.1</v>
      </c>
      <c r="BG471" s="765">
        <v>5150</v>
      </c>
      <c r="BH471" s="765">
        <v>24300</v>
      </c>
      <c r="BI471" s="765">
        <v>67800</v>
      </c>
      <c r="BJ471" s="765">
        <v>134</v>
      </c>
      <c r="BK471" s="765">
        <v>1660</v>
      </c>
      <c r="BL471" s="771">
        <v>5050</v>
      </c>
    </row>
    <row r="472" spans="35:64" x14ac:dyDescent="0.3">
      <c r="AI472" s="763" t="s">
        <v>899</v>
      </c>
      <c r="AJ472" s="764">
        <v>67300</v>
      </c>
      <c r="AK472" s="765">
        <v>903</v>
      </c>
      <c r="AL472" s="765">
        <v>29.5</v>
      </c>
      <c r="AM472" s="765">
        <v>409</v>
      </c>
      <c r="AN472" s="765">
        <v>53.1</v>
      </c>
      <c r="AO472" s="767" t="s">
        <v>900</v>
      </c>
      <c r="AP472" s="767">
        <v>46</v>
      </c>
      <c r="AQ472" s="765">
        <v>28</v>
      </c>
      <c r="AR472" s="770">
        <v>36</v>
      </c>
      <c r="AS472" s="766">
        <v>387</v>
      </c>
      <c r="AT472" s="765">
        <v>576</v>
      </c>
      <c r="AU472" s="767">
        <v>3.55</v>
      </c>
      <c r="AV472" s="768">
        <v>24.9</v>
      </c>
      <c r="AW472" s="765">
        <v>10100</v>
      </c>
      <c r="AX472" s="765">
        <v>22200</v>
      </c>
      <c r="AY472" s="765">
        <v>363</v>
      </c>
      <c r="AZ472" s="765">
        <v>9540</v>
      </c>
      <c r="BA472" s="765">
        <v>112</v>
      </c>
      <c r="BB472" s="765">
        <v>738</v>
      </c>
      <c r="BC472" s="765">
        <v>62.7</v>
      </c>
      <c r="BD472" s="765">
        <v>1160</v>
      </c>
      <c r="BE472" s="767">
        <v>0.43616400229463548</v>
      </c>
      <c r="BF472" s="768">
        <v>887.1</v>
      </c>
      <c r="BG472" s="765">
        <v>4220</v>
      </c>
      <c r="BH472" s="765">
        <v>22100</v>
      </c>
      <c r="BI472" s="765">
        <v>67400</v>
      </c>
      <c r="BJ472" s="765">
        <v>122</v>
      </c>
      <c r="BK472" s="765">
        <v>1530</v>
      </c>
      <c r="BL472" s="771">
        <v>4700</v>
      </c>
    </row>
    <row r="473" spans="35:64" x14ac:dyDescent="0.3">
      <c r="AI473" s="763" t="s">
        <v>901</v>
      </c>
      <c r="AJ473" s="764">
        <v>60400</v>
      </c>
      <c r="AK473" s="765">
        <v>893</v>
      </c>
      <c r="AL473" s="765">
        <v>26.4</v>
      </c>
      <c r="AM473" s="765">
        <v>406</v>
      </c>
      <c r="AN473" s="765">
        <v>48</v>
      </c>
      <c r="AO473" s="767" t="s">
        <v>902</v>
      </c>
      <c r="AP473" s="767">
        <v>42</v>
      </c>
      <c r="AQ473" s="772">
        <v>28</v>
      </c>
      <c r="AR473" s="770">
        <v>36</v>
      </c>
      <c r="AS473" s="766">
        <v>354</v>
      </c>
      <c r="AT473" s="765">
        <v>527</v>
      </c>
      <c r="AU473" s="767">
        <v>3.85</v>
      </c>
      <c r="AV473" s="768">
        <v>27</v>
      </c>
      <c r="AW473" s="765">
        <v>9150</v>
      </c>
      <c r="AX473" s="765">
        <v>20300</v>
      </c>
      <c r="AY473" s="765">
        <v>356</v>
      </c>
      <c r="AZ473" s="765">
        <v>8360</v>
      </c>
      <c r="BA473" s="765">
        <v>94.4</v>
      </c>
      <c r="BB473" s="765">
        <v>621</v>
      </c>
      <c r="BC473" s="765">
        <v>60.7</v>
      </c>
      <c r="BD473" s="765">
        <v>982</v>
      </c>
      <c r="BE473" s="767">
        <v>0.42783982319670461</v>
      </c>
      <c r="BF473" s="768">
        <v>882.9</v>
      </c>
      <c r="BG473" s="765">
        <v>2910</v>
      </c>
      <c r="BH473" s="765">
        <v>18400</v>
      </c>
      <c r="BI473" s="765">
        <v>67100</v>
      </c>
      <c r="BJ473" s="765">
        <v>103</v>
      </c>
      <c r="BK473" s="765">
        <v>1280</v>
      </c>
      <c r="BL473" s="771">
        <v>4110</v>
      </c>
    </row>
    <row r="474" spans="35:64" x14ac:dyDescent="0.3">
      <c r="AI474" s="763" t="s">
        <v>903</v>
      </c>
      <c r="AJ474" s="764">
        <v>55300</v>
      </c>
      <c r="AK474" s="765">
        <v>885</v>
      </c>
      <c r="AL474" s="765">
        <v>24.4</v>
      </c>
      <c r="AM474" s="765">
        <v>404</v>
      </c>
      <c r="AN474" s="765">
        <v>43.9</v>
      </c>
      <c r="AO474" s="767" t="s">
        <v>904</v>
      </c>
      <c r="AP474" s="767">
        <v>79</v>
      </c>
      <c r="AQ474" s="765">
        <v>36</v>
      </c>
      <c r="AR474" s="766">
        <v>33</v>
      </c>
      <c r="AS474" s="766">
        <v>318</v>
      </c>
      <c r="AT474" s="765">
        <v>473</v>
      </c>
      <c r="AU474" s="767">
        <v>4.2300000000000004</v>
      </c>
      <c r="AV474" s="768">
        <v>30.2</v>
      </c>
      <c r="AW474" s="765">
        <v>8130</v>
      </c>
      <c r="AX474" s="765">
        <v>18200</v>
      </c>
      <c r="AY474" s="765">
        <v>371</v>
      </c>
      <c r="AZ474" s="765">
        <v>25600</v>
      </c>
      <c r="BA474" s="765">
        <v>672</v>
      </c>
      <c r="BB474" s="765">
        <v>3270</v>
      </c>
      <c r="BC474" s="765">
        <v>95.7</v>
      </c>
      <c r="BD474" s="765">
        <v>5100</v>
      </c>
      <c r="BE474" s="767">
        <v>0.63994420237976757</v>
      </c>
      <c r="BF474" s="768">
        <v>855.1</v>
      </c>
      <c r="BG474" s="765">
        <v>61700</v>
      </c>
      <c r="BH474" s="765">
        <v>123000</v>
      </c>
      <c r="BI474" s="765">
        <v>87900</v>
      </c>
      <c r="BJ474" s="765">
        <v>523</v>
      </c>
      <c r="BK474" s="765">
        <v>4690</v>
      </c>
      <c r="BL474" s="771">
        <v>12700</v>
      </c>
    </row>
    <row r="475" spans="35:64" x14ac:dyDescent="0.3">
      <c r="AI475" s="763" t="s">
        <v>905</v>
      </c>
      <c r="AJ475" s="764">
        <v>50000</v>
      </c>
      <c r="AK475" s="765">
        <v>877</v>
      </c>
      <c r="AL475" s="765">
        <v>22.1</v>
      </c>
      <c r="AM475" s="765">
        <v>401</v>
      </c>
      <c r="AN475" s="765">
        <v>39.9</v>
      </c>
      <c r="AO475" s="767" t="s">
        <v>906</v>
      </c>
      <c r="AP475" s="767">
        <v>75</v>
      </c>
      <c r="AQ475" s="769">
        <v>35</v>
      </c>
      <c r="AR475" s="766">
        <v>33</v>
      </c>
      <c r="AS475" s="766">
        <v>291</v>
      </c>
      <c r="AT475" s="765">
        <v>433</v>
      </c>
      <c r="AU475" s="767">
        <v>4.5999999999999996</v>
      </c>
      <c r="AV475" s="768">
        <v>32.700000000000003</v>
      </c>
      <c r="AW475" s="765">
        <v>7360</v>
      </c>
      <c r="AX475" s="765">
        <v>16600</v>
      </c>
      <c r="AY475" s="765">
        <v>369</v>
      </c>
      <c r="AZ475" s="765">
        <v>23300</v>
      </c>
      <c r="BA475" s="765">
        <v>607</v>
      </c>
      <c r="BB475" s="765">
        <v>2970</v>
      </c>
      <c r="BC475" s="765">
        <v>95</v>
      </c>
      <c r="BD475" s="765">
        <v>4620</v>
      </c>
      <c r="BE475" s="767">
        <v>0.63444988807210911</v>
      </c>
      <c r="BF475" s="768">
        <v>849.9</v>
      </c>
      <c r="BG475" s="765">
        <v>47800</v>
      </c>
      <c r="BH475" s="765">
        <v>110000</v>
      </c>
      <c r="BI475" s="765">
        <v>86900</v>
      </c>
      <c r="BJ475" s="765">
        <v>472</v>
      </c>
      <c r="BK475" s="765">
        <v>4280</v>
      </c>
      <c r="BL475" s="771">
        <v>11600</v>
      </c>
    </row>
    <row r="476" spans="35:64" x14ac:dyDescent="0.3">
      <c r="AI476" s="763" t="s">
        <v>907</v>
      </c>
      <c r="AJ476" s="764">
        <v>45800</v>
      </c>
      <c r="AK476" s="765">
        <v>868</v>
      </c>
      <c r="AL476" s="765">
        <v>21.1</v>
      </c>
      <c r="AM476" s="765">
        <v>403</v>
      </c>
      <c r="AN476" s="765">
        <v>35.6</v>
      </c>
      <c r="AO476" s="767" t="s">
        <v>908</v>
      </c>
      <c r="AP476" s="767">
        <v>70</v>
      </c>
      <c r="AQ476" s="770">
        <v>33</v>
      </c>
      <c r="AR476" s="766">
        <v>33</v>
      </c>
      <c r="AS476" s="766">
        <v>263</v>
      </c>
      <c r="AT476" s="765">
        <v>392</v>
      </c>
      <c r="AU476" s="767">
        <v>5.03</v>
      </c>
      <c r="AV476" s="768">
        <v>36.1</v>
      </c>
      <c r="AW476" s="765">
        <v>6600</v>
      </c>
      <c r="AX476" s="765">
        <v>15000</v>
      </c>
      <c r="AY476" s="765">
        <v>367</v>
      </c>
      <c r="AZ476" s="765">
        <v>20800</v>
      </c>
      <c r="BA476" s="765">
        <v>537</v>
      </c>
      <c r="BB476" s="765">
        <v>2640</v>
      </c>
      <c r="BC476" s="765">
        <v>94.3</v>
      </c>
      <c r="BD476" s="765">
        <v>4100</v>
      </c>
      <c r="BE476" s="767">
        <v>0.62776811651683684</v>
      </c>
      <c r="BF476" s="768">
        <v>845</v>
      </c>
      <c r="BG476" s="765">
        <v>35100</v>
      </c>
      <c r="BH476" s="765">
        <v>95800</v>
      </c>
      <c r="BI476" s="765">
        <v>85800</v>
      </c>
      <c r="BJ476" s="765">
        <v>418</v>
      </c>
      <c r="BK476" s="765">
        <v>3850</v>
      </c>
      <c r="BL476" s="771">
        <v>10300</v>
      </c>
    </row>
    <row r="477" spans="35:64" x14ac:dyDescent="0.3">
      <c r="AI477" s="763" t="s">
        <v>909</v>
      </c>
      <c r="AJ477" s="764">
        <v>42000</v>
      </c>
      <c r="AK477" s="765">
        <v>862</v>
      </c>
      <c r="AL477" s="765">
        <v>19.7</v>
      </c>
      <c r="AM477" s="765">
        <v>401</v>
      </c>
      <c r="AN477" s="765">
        <v>32.4</v>
      </c>
      <c r="AO477" s="767" t="s">
        <v>910</v>
      </c>
      <c r="AP477" s="767">
        <v>65</v>
      </c>
      <c r="AQ477" s="769">
        <v>32</v>
      </c>
      <c r="AR477" s="766">
        <v>33</v>
      </c>
      <c r="AS477" s="766">
        <v>241</v>
      </c>
      <c r="AT477" s="765">
        <v>359</v>
      </c>
      <c r="AU477" s="767">
        <v>5.66</v>
      </c>
      <c r="AV477" s="768">
        <v>37.799999999999997</v>
      </c>
      <c r="AW477" s="765">
        <v>5920</v>
      </c>
      <c r="AX477" s="765">
        <v>13600</v>
      </c>
      <c r="AY477" s="765">
        <v>365</v>
      </c>
      <c r="AZ477" s="765">
        <v>18900</v>
      </c>
      <c r="BA477" s="765">
        <v>484</v>
      </c>
      <c r="BB477" s="765">
        <v>2390</v>
      </c>
      <c r="BC477" s="765">
        <v>93.5</v>
      </c>
      <c r="BD477" s="765">
        <v>3710</v>
      </c>
      <c r="BE477" s="767">
        <v>0.62251357306409882</v>
      </c>
      <c r="BF477" s="768">
        <v>841.1</v>
      </c>
      <c r="BG477" s="765">
        <v>27000</v>
      </c>
      <c r="BH477" s="765">
        <v>85500</v>
      </c>
      <c r="BI477" s="765">
        <v>85000</v>
      </c>
      <c r="BJ477" s="765">
        <v>377</v>
      </c>
      <c r="BK477" s="765">
        <v>3500</v>
      </c>
      <c r="BL477" s="771">
        <v>9400</v>
      </c>
    </row>
    <row r="478" spans="35:64" x14ac:dyDescent="0.3">
      <c r="AI478" s="763" t="s">
        <v>911</v>
      </c>
      <c r="AJ478" s="764">
        <v>38200</v>
      </c>
      <c r="AK478" s="765">
        <v>855</v>
      </c>
      <c r="AL478" s="765">
        <v>18.2</v>
      </c>
      <c r="AM478" s="765">
        <v>400</v>
      </c>
      <c r="AN478" s="765">
        <v>29.2</v>
      </c>
      <c r="AO478" s="767" t="s">
        <v>912</v>
      </c>
      <c r="AP478" s="767">
        <v>61</v>
      </c>
      <c r="AQ478" s="769">
        <v>31</v>
      </c>
      <c r="AR478" s="766">
        <v>33</v>
      </c>
      <c r="AS478" s="766">
        <v>221</v>
      </c>
      <c r="AT478" s="765">
        <v>329</v>
      </c>
      <c r="AU478" s="767">
        <v>6.19</v>
      </c>
      <c r="AV478" s="768">
        <v>40.5</v>
      </c>
      <c r="AW478" s="765">
        <v>5360</v>
      </c>
      <c r="AX478" s="765">
        <v>12400</v>
      </c>
      <c r="AY478" s="765">
        <v>363</v>
      </c>
      <c r="AZ478" s="765">
        <v>17000</v>
      </c>
      <c r="BA478" s="765">
        <v>430</v>
      </c>
      <c r="BB478" s="765">
        <v>2140</v>
      </c>
      <c r="BC478" s="765">
        <v>92.7</v>
      </c>
      <c r="BD478" s="765">
        <v>3310</v>
      </c>
      <c r="BE478" s="767">
        <v>0.61591421628525433</v>
      </c>
      <c r="BF478" s="768">
        <v>837.1</v>
      </c>
      <c r="BG478" s="765">
        <v>20300</v>
      </c>
      <c r="BH478" s="765">
        <v>75300</v>
      </c>
      <c r="BI478" s="765">
        <v>83900</v>
      </c>
      <c r="BJ478" s="765">
        <v>336</v>
      </c>
      <c r="BK478" s="765">
        <v>3160</v>
      </c>
      <c r="BL478" s="771">
        <v>8450</v>
      </c>
    </row>
    <row r="479" spans="35:64" x14ac:dyDescent="0.3">
      <c r="AI479" s="763" t="s">
        <v>913</v>
      </c>
      <c r="AJ479" s="764">
        <v>31900</v>
      </c>
      <c r="AK479" s="765">
        <v>859</v>
      </c>
      <c r="AL479" s="765">
        <v>17</v>
      </c>
      <c r="AM479" s="765">
        <v>292</v>
      </c>
      <c r="AN479" s="765">
        <v>31</v>
      </c>
      <c r="AO479" s="767" t="s">
        <v>914</v>
      </c>
      <c r="AP479" s="767">
        <v>57</v>
      </c>
      <c r="AQ479" s="770">
        <v>31</v>
      </c>
      <c r="AR479" s="766">
        <v>33</v>
      </c>
      <c r="AS479" s="766">
        <v>201</v>
      </c>
      <c r="AT479" s="765">
        <v>299</v>
      </c>
      <c r="AU479" s="767">
        <v>6.85</v>
      </c>
      <c r="AV479" s="768">
        <v>43.8</v>
      </c>
      <c r="AW479" s="765">
        <v>4800</v>
      </c>
      <c r="AX479" s="765">
        <v>11200</v>
      </c>
      <c r="AY479" s="765">
        <v>359</v>
      </c>
      <c r="AZ479" s="765">
        <v>15400</v>
      </c>
      <c r="BA479" s="765">
        <v>389</v>
      </c>
      <c r="BB479" s="765">
        <v>1930</v>
      </c>
      <c r="BC479" s="765">
        <v>92.1</v>
      </c>
      <c r="BD479" s="765">
        <v>2980</v>
      </c>
      <c r="BE479" s="767">
        <v>0.61359656581112387</v>
      </c>
      <c r="BF479" s="768">
        <v>832.4</v>
      </c>
      <c r="BG479" s="765">
        <v>15100</v>
      </c>
      <c r="BH479" s="765">
        <v>67400</v>
      </c>
      <c r="BI479" s="765">
        <v>83900</v>
      </c>
      <c r="BJ479" s="765">
        <v>301</v>
      </c>
      <c r="BK479" s="765">
        <v>2830</v>
      </c>
      <c r="BL479" s="771">
        <v>7650</v>
      </c>
    </row>
    <row r="480" spans="35:64" x14ac:dyDescent="0.3">
      <c r="AI480" s="763" t="s">
        <v>915</v>
      </c>
      <c r="AJ480" s="764">
        <v>28900</v>
      </c>
      <c r="AK480" s="765">
        <v>851</v>
      </c>
      <c r="AL480" s="765">
        <v>16.100000000000001</v>
      </c>
      <c r="AM480" s="765">
        <v>294</v>
      </c>
      <c r="AN480" s="765">
        <v>26.8</v>
      </c>
      <c r="AO480" s="767" t="s">
        <v>916</v>
      </c>
      <c r="AP480" s="767">
        <v>54</v>
      </c>
      <c r="AQ480" s="769">
        <v>30</v>
      </c>
      <c r="AR480" s="766">
        <v>33</v>
      </c>
      <c r="AS480" s="766">
        <v>169</v>
      </c>
      <c r="AT480" s="765">
        <v>251</v>
      </c>
      <c r="AU480" s="767">
        <v>4.71</v>
      </c>
      <c r="AV480" s="768">
        <v>46.9</v>
      </c>
      <c r="AW480" s="765">
        <v>3860</v>
      </c>
      <c r="AX480" s="765">
        <v>9000</v>
      </c>
      <c r="AY480" s="765">
        <v>357</v>
      </c>
      <c r="AZ480" s="765">
        <v>14000</v>
      </c>
      <c r="BA480" s="765">
        <v>349</v>
      </c>
      <c r="BB480" s="765">
        <v>1740</v>
      </c>
      <c r="BC480" s="765">
        <v>91.1</v>
      </c>
      <c r="BD480" s="765">
        <v>2690</v>
      </c>
      <c r="BE480" s="767">
        <v>0.60748187782999463</v>
      </c>
      <c r="BF480" s="768">
        <v>829.6</v>
      </c>
      <c r="BG480" s="765">
        <v>11600</v>
      </c>
      <c r="BH480" s="765">
        <v>60000</v>
      </c>
      <c r="BI480" s="765">
        <v>83200</v>
      </c>
      <c r="BJ480" s="765">
        <v>270</v>
      </c>
      <c r="BK480" s="765">
        <v>2560</v>
      </c>
      <c r="BL480" s="771">
        <v>6950</v>
      </c>
    </row>
    <row r="481" spans="35:64" x14ac:dyDescent="0.3">
      <c r="AI481" s="763" t="s">
        <v>917</v>
      </c>
      <c r="AJ481" s="764">
        <v>26800</v>
      </c>
      <c r="AK481" s="765">
        <v>846</v>
      </c>
      <c r="AL481" s="765">
        <v>15.4</v>
      </c>
      <c r="AM481" s="765">
        <v>293</v>
      </c>
      <c r="AN481" s="765">
        <v>24.4</v>
      </c>
      <c r="AO481" s="767" t="s">
        <v>918</v>
      </c>
      <c r="AP481" s="767">
        <v>51</v>
      </c>
      <c r="AQ481" s="769">
        <v>29</v>
      </c>
      <c r="AR481" s="766">
        <v>33</v>
      </c>
      <c r="AS481" s="766">
        <v>152</v>
      </c>
      <c r="AT481" s="765">
        <v>226</v>
      </c>
      <c r="AU481" s="767">
        <v>5.49</v>
      </c>
      <c r="AV481" s="768">
        <v>49.5</v>
      </c>
      <c r="AW481" s="765">
        <v>3400</v>
      </c>
      <c r="AX481" s="765">
        <v>7990</v>
      </c>
      <c r="AY481" s="765">
        <v>355</v>
      </c>
      <c r="AZ481" s="765">
        <v>12700</v>
      </c>
      <c r="BA481" s="765">
        <v>312</v>
      </c>
      <c r="BB481" s="765">
        <v>1560</v>
      </c>
      <c r="BC481" s="765">
        <v>90.4</v>
      </c>
      <c r="BD481" s="765">
        <v>2410</v>
      </c>
      <c r="BE481" s="767">
        <v>0.60312529796318282</v>
      </c>
      <c r="BF481" s="768">
        <v>825.8</v>
      </c>
      <c r="BG481" s="765">
        <v>8660</v>
      </c>
      <c r="BH481" s="765">
        <v>53200</v>
      </c>
      <c r="BI481" s="765">
        <v>82600</v>
      </c>
      <c r="BJ481" s="765">
        <v>241</v>
      </c>
      <c r="BK481" s="765">
        <v>2300</v>
      </c>
      <c r="BL481" s="771">
        <v>6270</v>
      </c>
    </row>
    <row r="482" spans="35:64" x14ac:dyDescent="0.3">
      <c r="AI482" s="763" t="s">
        <v>919</v>
      </c>
      <c r="AJ482" s="764">
        <v>24700</v>
      </c>
      <c r="AK482" s="765">
        <v>840</v>
      </c>
      <c r="AL482" s="765">
        <v>14.7</v>
      </c>
      <c r="AM482" s="765">
        <v>292</v>
      </c>
      <c r="AN482" s="765">
        <v>21.7</v>
      </c>
      <c r="AO482" s="767" t="s">
        <v>920</v>
      </c>
      <c r="AP482" s="767">
        <v>53</v>
      </c>
      <c r="AQ482" s="769">
        <v>29</v>
      </c>
      <c r="AR482" s="766">
        <v>33</v>
      </c>
      <c r="AS482" s="766">
        <v>141</v>
      </c>
      <c r="AT482" s="765">
        <v>210</v>
      </c>
      <c r="AU482" s="767">
        <v>6</v>
      </c>
      <c r="AV482" s="768">
        <v>51.8</v>
      </c>
      <c r="AW482" s="765">
        <v>3110</v>
      </c>
      <c r="AX482" s="765">
        <v>7340</v>
      </c>
      <c r="AY482" s="765">
        <v>348</v>
      </c>
      <c r="AZ482" s="765">
        <v>10300</v>
      </c>
      <c r="BA482" s="765">
        <v>129</v>
      </c>
      <c r="BB482" s="765">
        <v>884</v>
      </c>
      <c r="BC482" s="765">
        <v>63.6</v>
      </c>
      <c r="BD482" s="765">
        <v>1380</v>
      </c>
      <c r="BE482" s="767">
        <v>0.43313595986681869</v>
      </c>
      <c r="BF482" s="768">
        <v>828</v>
      </c>
      <c r="BG482" s="765">
        <v>7350</v>
      </c>
      <c r="BH482" s="765">
        <v>22100</v>
      </c>
      <c r="BI482" s="765">
        <v>60400</v>
      </c>
      <c r="BJ482" s="765">
        <v>137</v>
      </c>
      <c r="BK482" s="765">
        <v>1760</v>
      </c>
      <c r="BL482" s="771">
        <v>5100</v>
      </c>
    </row>
    <row r="483" spans="35:64" x14ac:dyDescent="0.3">
      <c r="AI483" s="763" t="s">
        <v>921</v>
      </c>
      <c r="AJ483" s="764">
        <v>22400</v>
      </c>
      <c r="AK483" s="765">
        <v>835</v>
      </c>
      <c r="AL483" s="765">
        <v>14</v>
      </c>
      <c r="AM483" s="765">
        <v>292</v>
      </c>
      <c r="AN483" s="765">
        <v>18.8</v>
      </c>
      <c r="AO483" s="767" t="s">
        <v>922</v>
      </c>
      <c r="AP483" s="767">
        <v>49</v>
      </c>
      <c r="AQ483" s="769">
        <v>28</v>
      </c>
      <c r="AR483" s="766">
        <v>33</v>
      </c>
      <c r="AS483" s="766">
        <v>130</v>
      </c>
      <c r="AT483" s="765">
        <v>193</v>
      </c>
      <c r="AU483" s="767">
        <v>6.73</v>
      </c>
      <c r="AV483" s="768">
        <v>54.2</v>
      </c>
      <c r="AW483" s="765">
        <v>2780</v>
      </c>
      <c r="AX483" s="765">
        <v>6630</v>
      </c>
      <c r="AY483" s="765">
        <v>343</v>
      </c>
      <c r="AZ483" s="765">
        <v>9160</v>
      </c>
      <c r="BA483" s="765">
        <v>114</v>
      </c>
      <c r="BB483" s="765">
        <v>774</v>
      </c>
      <c r="BC483" s="765">
        <v>62.8</v>
      </c>
      <c r="BD483" s="765">
        <v>1210</v>
      </c>
      <c r="BE483" s="767">
        <v>0.43086592612088981</v>
      </c>
      <c r="BF483" s="768">
        <v>824.2</v>
      </c>
      <c r="BG483" s="765">
        <v>5140</v>
      </c>
      <c r="BH483" s="765">
        <v>19300</v>
      </c>
      <c r="BI483" s="765">
        <v>60600</v>
      </c>
      <c r="BJ483" s="765">
        <v>119</v>
      </c>
      <c r="BK483" s="765">
        <v>1530</v>
      </c>
      <c r="BL483" s="771">
        <v>4530</v>
      </c>
    </row>
    <row r="484" spans="35:64" x14ac:dyDescent="0.3">
      <c r="AI484" s="763" t="s">
        <v>923</v>
      </c>
      <c r="AJ484" s="764">
        <v>74300</v>
      </c>
      <c r="AK484" s="765">
        <v>843</v>
      </c>
      <c r="AL484" s="765">
        <v>34.5</v>
      </c>
      <c r="AM484" s="765">
        <v>396</v>
      </c>
      <c r="AN484" s="765">
        <v>62</v>
      </c>
      <c r="AO484" s="767" t="s">
        <v>924</v>
      </c>
      <c r="AP484" s="767">
        <v>46</v>
      </c>
      <c r="AQ484" s="769">
        <v>28</v>
      </c>
      <c r="AR484" s="766">
        <v>33</v>
      </c>
      <c r="AS484" s="766">
        <v>118</v>
      </c>
      <c r="AT484" s="765">
        <v>176</v>
      </c>
      <c r="AU484" s="767">
        <v>7.77</v>
      </c>
      <c r="AV484" s="768">
        <v>57</v>
      </c>
      <c r="AW484" s="765">
        <v>2460</v>
      </c>
      <c r="AX484" s="765">
        <v>5900</v>
      </c>
      <c r="AY484" s="765">
        <v>340</v>
      </c>
      <c r="AZ484" s="765">
        <v>8430</v>
      </c>
      <c r="BA484" s="765">
        <v>103</v>
      </c>
      <c r="BB484" s="765">
        <v>700</v>
      </c>
      <c r="BC484" s="765">
        <v>61.8</v>
      </c>
      <c r="BD484" s="765">
        <v>1100</v>
      </c>
      <c r="BE484" s="767">
        <v>0.42645459868743912</v>
      </c>
      <c r="BF484" s="768">
        <v>821.6</v>
      </c>
      <c r="BG484" s="765">
        <v>4050</v>
      </c>
      <c r="BH484" s="765">
        <v>17300</v>
      </c>
      <c r="BI484" s="765">
        <v>60200</v>
      </c>
      <c r="BJ484" s="765">
        <v>108</v>
      </c>
      <c r="BK484" s="765">
        <v>1390</v>
      </c>
      <c r="BL484" s="771">
        <v>4160</v>
      </c>
    </row>
    <row r="485" spans="35:64" x14ac:dyDescent="0.3">
      <c r="AI485" s="763" t="s">
        <v>925</v>
      </c>
      <c r="AJ485" s="764">
        <v>67700</v>
      </c>
      <c r="AK485" s="765">
        <v>833</v>
      </c>
      <c r="AL485" s="765">
        <v>31.5</v>
      </c>
      <c r="AM485" s="765">
        <v>393</v>
      </c>
      <c r="AN485" s="765">
        <v>56.9</v>
      </c>
      <c r="AO485" s="767" t="s">
        <v>926</v>
      </c>
      <c r="AP485" s="767">
        <v>44</v>
      </c>
      <c r="AQ485" s="769">
        <v>28</v>
      </c>
      <c r="AR485" s="766">
        <v>33</v>
      </c>
      <c r="AS485" s="766">
        <v>391</v>
      </c>
      <c r="AT485" s="765">
        <v>582</v>
      </c>
      <c r="AU485" s="767">
        <v>3.19</v>
      </c>
      <c r="AV485" s="768">
        <v>20.8</v>
      </c>
      <c r="AW485" s="765">
        <v>8620</v>
      </c>
      <c r="AX485" s="765">
        <v>20400</v>
      </c>
      <c r="AY485" s="765">
        <v>336</v>
      </c>
      <c r="AZ485" s="765">
        <v>7620</v>
      </c>
      <c r="BA485" s="765">
        <v>90.3</v>
      </c>
      <c r="BB485" s="765">
        <v>618</v>
      </c>
      <c r="BC485" s="765">
        <v>60.5</v>
      </c>
      <c r="BD485" s="765">
        <v>971</v>
      </c>
      <c r="BE485" s="767">
        <v>0.41967143529157408</v>
      </c>
      <c r="BF485" s="768">
        <v>818.3</v>
      </c>
      <c r="BG485" s="765">
        <v>3050</v>
      </c>
      <c r="BH485" s="765">
        <v>15100</v>
      </c>
      <c r="BI485" s="765">
        <v>59700</v>
      </c>
      <c r="BJ485" s="765">
        <v>94.6</v>
      </c>
      <c r="BK485" s="765">
        <v>1230</v>
      </c>
      <c r="BL485" s="771">
        <v>3760</v>
      </c>
    </row>
    <row r="486" spans="35:64" x14ac:dyDescent="0.3">
      <c r="AI486" s="763" t="s">
        <v>927</v>
      </c>
      <c r="AJ486" s="764">
        <v>61800</v>
      </c>
      <c r="AK486" s="765">
        <v>823</v>
      </c>
      <c r="AL486" s="765">
        <v>29</v>
      </c>
      <c r="AM486" s="765">
        <v>390</v>
      </c>
      <c r="AN486" s="765">
        <v>52.1</v>
      </c>
      <c r="AO486" s="767" t="s">
        <v>928</v>
      </c>
      <c r="AP486" s="767">
        <v>41</v>
      </c>
      <c r="AQ486" s="769">
        <v>27</v>
      </c>
      <c r="AR486" s="766">
        <v>33</v>
      </c>
      <c r="AS486" s="766">
        <v>357</v>
      </c>
      <c r="AT486" s="765">
        <v>531</v>
      </c>
      <c r="AU486" s="767">
        <v>3.45</v>
      </c>
      <c r="AV486" s="768">
        <v>22.8</v>
      </c>
      <c r="AW486" s="765">
        <v>7770</v>
      </c>
      <c r="AX486" s="765">
        <v>18600</v>
      </c>
      <c r="AY486" s="765">
        <v>331</v>
      </c>
      <c r="AZ486" s="765">
        <v>6810</v>
      </c>
      <c r="BA486" s="765">
        <v>78.2</v>
      </c>
      <c r="BB486" s="765">
        <v>536</v>
      </c>
      <c r="BC486" s="765">
        <v>59.1</v>
      </c>
      <c r="BD486" s="765">
        <v>844</v>
      </c>
      <c r="BE486" s="767">
        <v>0.41339147899867451</v>
      </c>
      <c r="BF486" s="768">
        <v>816.2</v>
      </c>
      <c r="BG486" s="765">
        <v>2220</v>
      </c>
      <c r="BH486" s="765">
        <v>13000</v>
      </c>
      <c r="BI486" s="765">
        <v>59600</v>
      </c>
      <c r="BJ486" s="765">
        <v>81.8</v>
      </c>
      <c r="BK486" s="765">
        <v>1070</v>
      </c>
      <c r="BL486" s="771">
        <v>3350</v>
      </c>
    </row>
    <row r="487" spans="35:64" x14ac:dyDescent="0.3">
      <c r="AI487" s="763" t="s">
        <v>929</v>
      </c>
      <c r="AJ487" s="764">
        <v>55300</v>
      </c>
      <c r="AK487" s="765">
        <v>813</v>
      </c>
      <c r="AL487" s="765">
        <v>25.9</v>
      </c>
      <c r="AM487" s="765">
        <v>387</v>
      </c>
      <c r="AN487" s="765">
        <v>47</v>
      </c>
      <c r="AO487" s="767" t="s">
        <v>930</v>
      </c>
      <c r="AP487" s="767">
        <v>84</v>
      </c>
      <c r="AQ487" s="769">
        <v>37</v>
      </c>
      <c r="AR487" s="770">
        <v>30</v>
      </c>
      <c r="AS487" s="766">
        <v>326</v>
      </c>
      <c r="AT487" s="765">
        <v>484</v>
      </c>
      <c r="AU487" s="767">
        <v>3.74</v>
      </c>
      <c r="AV487" s="768">
        <v>24.8</v>
      </c>
      <c r="AW487" s="765">
        <v>6990</v>
      </c>
      <c r="AX487" s="765">
        <v>17000</v>
      </c>
      <c r="AY487" s="765">
        <v>341</v>
      </c>
      <c r="AZ487" s="765">
        <v>23800</v>
      </c>
      <c r="BA487" s="765">
        <v>644</v>
      </c>
      <c r="BB487" s="765">
        <v>3250</v>
      </c>
      <c r="BC487" s="765">
        <v>93.2</v>
      </c>
      <c r="BD487" s="765">
        <v>5080</v>
      </c>
      <c r="BE487" s="767">
        <v>0.62451771579265414</v>
      </c>
      <c r="BF487" s="768">
        <v>781</v>
      </c>
      <c r="BG487" s="765">
        <v>72200</v>
      </c>
      <c r="BH487" s="765">
        <v>98300</v>
      </c>
      <c r="BI487" s="765">
        <v>77300</v>
      </c>
      <c r="BJ487" s="765">
        <v>475</v>
      </c>
      <c r="BK487" s="765">
        <v>4380</v>
      </c>
      <c r="BL487" s="771">
        <v>11800</v>
      </c>
    </row>
    <row r="488" spans="35:64" x14ac:dyDescent="0.3">
      <c r="AI488" s="763" t="s">
        <v>931</v>
      </c>
      <c r="AJ488" s="764">
        <v>49600</v>
      </c>
      <c r="AK488" s="765">
        <v>803</v>
      </c>
      <c r="AL488" s="765">
        <v>23.6</v>
      </c>
      <c r="AM488" s="765">
        <v>385</v>
      </c>
      <c r="AN488" s="765">
        <v>41.9</v>
      </c>
      <c r="AO488" s="767" t="s">
        <v>932</v>
      </c>
      <c r="AP488" s="767">
        <v>78</v>
      </c>
      <c r="AQ488" s="769">
        <v>36</v>
      </c>
      <c r="AR488" s="770">
        <v>30</v>
      </c>
      <c r="AS488" s="766">
        <v>292</v>
      </c>
      <c r="AT488" s="765">
        <v>434</v>
      </c>
      <c r="AU488" s="767">
        <v>4.12</v>
      </c>
      <c r="AV488" s="768">
        <v>27.8</v>
      </c>
      <c r="AW488" s="765">
        <v>6190</v>
      </c>
      <c r="AX488" s="765">
        <v>15200</v>
      </c>
      <c r="AY488" s="765">
        <v>339</v>
      </c>
      <c r="AZ488" s="765">
        <v>21600</v>
      </c>
      <c r="BA488" s="765">
        <v>578</v>
      </c>
      <c r="BB488" s="765">
        <v>2940</v>
      </c>
      <c r="BC488" s="765">
        <v>92.4</v>
      </c>
      <c r="BD488" s="765">
        <v>4580</v>
      </c>
      <c r="BE488" s="767">
        <v>0.61745498416600586</v>
      </c>
      <c r="BF488" s="768">
        <v>776.1</v>
      </c>
      <c r="BG488" s="765">
        <v>55600</v>
      </c>
      <c r="BH488" s="765">
        <v>87000</v>
      </c>
      <c r="BI488" s="765">
        <v>76300</v>
      </c>
      <c r="BJ488" s="765">
        <v>426</v>
      </c>
      <c r="BK488" s="765">
        <v>3990</v>
      </c>
      <c r="BL488" s="771">
        <v>10700</v>
      </c>
    </row>
    <row r="489" spans="35:64" x14ac:dyDescent="0.3">
      <c r="AI489" s="763" t="s">
        <v>933</v>
      </c>
      <c r="AJ489" s="764">
        <v>44600</v>
      </c>
      <c r="AK489" s="765">
        <v>795</v>
      </c>
      <c r="AL489" s="765">
        <v>21.1</v>
      </c>
      <c r="AM489" s="765">
        <v>382</v>
      </c>
      <c r="AN489" s="765">
        <v>38.1</v>
      </c>
      <c r="AO489" s="767" t="s">
        <v>934</v>
      </c>
      <c r="AP489" s="767">
        <v>74</v>
      </c>
      <c r="AQ489" s="769">
        <v>35</v>
      </c>
      <c r="AR489" s="770">
        <v>30</v>
      </c>
      <c r="AS489" s="766">
        <v>261</v>
      </c>
      <c r="AT489" s="765">
        <v>389</v>
      </c>
      <c r="AU489" s="767">
        <v>4.59</v>
      </c>
      <c r="AV489" s="768">
        <v>30.5</v>
      </c>
      <c r="AW489" s="765">
        <v>5450</v>
      </c>
      <c r="AX489" s="765">
        <v>13600</v>
      </c>
      <c r="AY489" s="765">
        <v>336</v>
      </c>
      <c r="AZ489" s="765">
        <v>19500</v>
      </c>
      <c r="BA489" s="765">
        <v>517</v>
      </c>
      <c r="BB489" s="765">
        <v>2650</v>
      </c>
      <c r="BC489" s="765">
        <v>91.4</v>
      </c>
      <c r="BD489" s="765">
        <v>4120</v>
      </c>
      <c r="BE489" s="767">
        <v>0.60881939626696735</v>
      </c>
      <c r="BF489" s="768">
        <v>770.9</v>
      </c>
      <c r="BG489" s="765">
        <v>42800</v>
      </c>
      <c r="BH489" s="765">
        <v>76800</v>
      </c>
      <c r="BI489" s="765">
        <v>75200</v>
      </c>
      <c r="BJ489" s="765">
        <v>382</v>
      </c>
      <c r="BK489" s="765">
        <v>3620</v>
      </c>
      <c r="BL489" s="771">
        <v>9700</v>
      </c>
    </row>
    <row r="490" spans="35:64" x14ac:dyDescent="0.3">
      <c r="AI490" s="763" t="s">
        <v>935</v>
      </c>
      <c r="AJ490" s="764">
        <v>40200</v>
      </c>
      <c r="AK490" s="765">
        <v>786</v>
      </c>
      <c r="AL490" s="765">
        <v>19.7</v>
      </c>
      <c r="AM490" s="765">
        <v>384</v>
      </c>
      <c r="AN490" s="765">
        <v>33.4</v>
      </c>
      <c r="AO490" s="767" t="s">
        <v>936</v>
      </c>
      <c r="AP490" s="767">
        <v>69</v>
      </c>
      <c r="AQ490" s="769">
        <v>33</v>
      </c>
      <c r="AR490" s="770">
        <v>30</v>
      </c>
      <c r="AS490" s="766">
        <v>235</v>
      </c>
      <c r="AT490" s="765">
        <v>350</v>
      </c>
      <c r="AU490" s="767">
        <v>5.01</v>
      </c>
      <c r="AV490" s="768">
        <v>34.1</v>
      </c>
      <c r="AW490" s="765">
        <v>4870</v>
      </c>
      <c r="AX490" s="765">
        <v>12200</v>
      </c>
      <c r="AY490" s="765">
        <v>334</v>
      </c>
      <c r="AZ490" s="765">
        <v>17400</v>
      </c>
      <c r="BA490" s="765">
        <v>455</v>
      </c>
      <c r="BB490" s="765">
        <v>2350</v>
      </c>
      <c r="BC490" s="765">
        <v>90.7</v>
      </c>
      <c r="BD490" s="765">
        <v>3650</v>
      </c>
      <c r="BE490" s="767">
        <v>0.60224772873216947</v>
      </c>
      <c r="BF490" s="768">
        <v>766</v>
      </c>
      <c r="BG490" s="765">
        <v>31300</v>
      </c>
      <c r="BH490" s="765">
        <v>66800</v>
      </c>
      <c r="BI490" s="765">
        <v>74100</v>
      </c>
      <c r="BJ490" s="765">
        <v>337</v>
      </c>
      <c r="BK490" s="765">
        <v>3250</v>
      </c>
      <c r="BL490" s="771">
        <v>8640</v>
      </c>
    </row>
    <row r="491" spans="35:64" x14ac:dyDescent="0.3">
      <c r="AI491" s="763" t="s">
        <v>937</v>
      </c>
      <c r="AJ491" s="764">
        <v>36300</v>
      </c>
      <c r="AK491" s="765">
        <v>779</v>
      </c>
      <c r="AL491" s="765">
        <v>18</v>
      </c>
      <c r="AM491" s="765">
        <v>382</v>
      </c>
      <c r="AN491" s="765">
        <v>30.1</v>
      </c>
      <c r="AO491" s="767" t="s">
        <v>938</v>
      </c>
      <c r="AP491" s="767">
        <v>63</v>
      </c>
      <c r="AQ491" s="769">
        <v>32</v>
      </c>
      <c r="AR491" s="770">
        <v>30</v>
      </c>
      <c r="AS491" s="766">
        <v>211</v>
      </c>
      <c r="AT491" s="765">
        <v>314</v>
      </c>
      <c r="AU491" s="767">
        <v>5.75</v>
      </c>
      <c r="AV491" s="768">
        <v>36.5</v>
      </c>
      <c r="AW491" s="765">
        <v>4290</v>
      </c>
      <c r="AX491" s="765">
        <v>10900</v>
      </c>
      <c r="AY491" s="765">
        <v>332</v>
      </c>
      <c r="AZ491" s="765">
        <v>15500</v>
      </c>
      <c r="BA491" s="765">
        <v>399</v>
      </c>
      <c r="BB491" s="765">
        <v>2070</v>
      </c>
      <c r="BC491" s="765">
        <v>89.8</v>
      </c>
      <c r="BD491" s="765">
        <v>3210</v>
      </c>
      <c r="BE491" s="767">
        <v>0.59423158136844112</v>
      </c>
      <c r="BF491" s="768">
        <v>761.1</v>
      </c>
      <c r="BG491" s="765">
        <v>22500</v>
      </c>
      <c r="BH491" s="765">
        <v>57800</v>
      </c>
      <c r="BI491" s="765">
        <v>73300</v>
      </c>
      <c r="BJ491" s="765">
        <v>295</v>
      </c>
      <c r="BK491" s="765">
        <v>2880</v>
      </c>
      <c r="BL491" s="771">
        <v>7660</v>
      </c>
    </row>
    <row r="492" spans="35:64" x14ac:dyDescent="0.3">
      <c r="AI492" s="763" t="s">
        <v>939</v>
      </c>
      <c r="AJ492" s="764">
        <v>32900</v>
      </c>
      <c r="AK492" s="765">
        <v>773</v>
      </c>
      <c r="AL492" s="765">
        <v>16.600000000000001</v>
      </c>
      <c r="AM492" s="765">
        <v>381</v>
      </c>
      <c r="AN492" s="765">
        <v>27.1</v>
      </c>
      <c r="AO492" s="767" t="s">
        <v>940</v>
      </c>
      <c r="AP492" s="767">
        <v>60</v>
      </c>
      <c r="AQ492" s="769">
        <v>31</v>
      </c>
      <c r="AR492" s="770">
        <v>30</v>
      </c>
      <c r="AS492" s="766">
        <v>191</v>
      </c>
      <c r="AT492" s="765">
        <v>284</v>
      </c>
      <c r="AU492" s="767">
        <v>6.35</v>
      </c>
      <c r="AV492" s="768">
        <v>39.9</v>
      </c>
      <c r="AW492" s="765">
        <v>3830</v>
      </c>
      <c r="AX492" s="765">
        <v>9820</v>
      </c>
      <c r="AY492" s="765">
        <v>330</v>
      </c>
      <c r="AZ492" s="765">
        <v>13900</v>
      </c>
      <c r="BA492" s="765">
        <v>355</v>
      </c>
      <c r="BB492" s="765">
        <v>1860</v>
      </c>
      <c r="BC492" s="765">
        <v>89.1</v>
      </c>
      <c r="BD492" s="765">
        <v>2870</v>
      </c>
      <c r="BE492" s="767">
        <v>0.58998789478868008</v>
      </c>
      <c r="BF492" s="768">
        <v>756.9</v>
      </c>
      <c r="BG492" s="765">
        <v>16800</v>
      </c>
      <c r="BH492" s="765">
        <v>50800</v>
      </c>
      <c r="BI492" s="765">
        <v>72300</v>
      </c>
      <c r="BJ492" s="765">
        <v>263</v>
      </c>
      <c r="BK492" s="765">
        <v>2600</v>
      </c>
      <c r="BL492" s="771">
        <v>6870</v>
      </c>
    </row>
    <row r="493" spans="35:64" x14ac:dyDescent="0.3">
      <c r="AI493" s="763" t="s">
        <v>941</v>
      </c>
      <c r="AJ493" s="764">
        <v>28100</v>
      </c>
      <c r="AK493" s="765">
        <v>779</v>
      </c>
      <c r="AL493" s="765">
        <v>16.5</v>
      </c>
      <c r="AM493" s="773">
        <v>266</v>
      </c>
      <c r="AN493" s="765">
        <v>30</v>
      </c>
      <c r="AO493" s="767" t="s">
        <v>942</v>
      </c>
      <c r="AP493" s="767">
        <v>55</v>
      </c>
      <c r="AQ493" s="765">
        <v>30</v>
      </c>
      <c r="AR493" s="770">
        <v>30</v>
      </c>
      <c r="AS493" s="766">
        <v>173</v>
      </c>
      <c r="AT493" s="765">
        <v>257</v>
      </c>
      <c r="AU493" s="767">
        <v>7.03</v>
      </c>
      <c r="AV493" s="768">
        <v>43.3</v>
      </c>
      <c r="AW493" s="765">
        <v>3430</v>
      </c>
      <c r="AX493" s="765">
        <v>8880</v>
      </c>
      <c r="AY493" s="765">
        <v>327</v>
      </c>
      <c r="AZ493" s="765">
        <v>12300</v>
      </c>
      <c r="BA493" s="765">
        <v>316</v>
      </c>
      <c r="BB493" s="765">
        <v>1640</v>
      </c>
      <c r="BC493" s="765">
        <v>88.7</v>
      </c>
      <c r="BD493" s="765">
        <v>2540</v>
      </c>
      <c r="BE493" s="767">
        <v>0.58719912866651991</v>
      </c>
      <c r="BF493" s="768">
        <v>752.6</v>
      </c>
      <c r="BG493" s="765">
        <v>11800</v>
      </c>
      <c r="BH493" s="765">
        <v>44700</v>
      </c>
      <c r="BI493" s="765">
        <v>72200</v>
      </c>
      <c r="BJ493" s="765">
        <v>232</v>
      </c>
      <c r="BK493" s="765">
        <v>2290</v>
      </c>
      <c r="BL493" s="771">
        <v>6100</v>
      </c>
    </row>
    <row r="494" spans="35:64" x14ac:dyDescent="0.3">
      <c r="AI494" s="763" t="s">
        <v>943</v>
      </c>
      <c r="AJ494" s="764">
        <v>25100</v>
      </c>
      <c r="AK494" s="765">
        <v>770</v>
      </c>
      <c r="AL494" s="765">
        <v>15.6</v>
      </c>
      <c r="AM494" s="773">
        <v>268</v>
      </c>
      <c r="AN494" s="765">
        <v>25.4</v>
      </c>
      <c r="AO494" s="767" t="s">
        <v>944</v>
      </c>
      <c r="AP494" s="767">
        <v>52</v>
      </c>
      <c r="AQ494" s="765">
        <v>29</v>
      </c>
      <c r="AR494" s="770">
        <v>30</v>
      </c>
      <c r="AS494" s="766">
        <v>148</v>
      </c>
      <c r="AT494" s="765">
        <v>220</v>
      </c>
      <c r="AU494" s="767">
        <v>4.43</v>
      </c>
      <c r="AV494" s="768">
        <v>43.6</v>
      </c>
      <c r="AW494" s="765">
        <v>2780</v>
      </c>
      <c r="AX494" s="765">
        <v>7140</v>
      </c>
      <c r="AY494" s="765">
        <v>325</v>
      </c>
      <c r="AZ494" s="765">
        <v>11100</v>
      </c>
      <c r="BA494" s="765">
        <v>280</v>
      </c>
      <c r="BB494" s="765">
        <v>1470</v>
      </c>
      <c r="BC494" s="765">
        <v>87.9</v>
      </c>
      <c r="BD494" s="765">
        <v>2260</v>
      </c>
      <c r="BE494" s="767">
        <v>0.58120842564098896</v>
      </c>
      <c r="BF494" s="768">
        <v>748.9</v>
      </c>
      <c r="BG494" s="765">
        <v>8750</v>
      </c>
      <c r="BH494" s="765">
        <v>39300</v>
      </c>
      <c r="BI494" s="765">
        <v>71500</v>
      </c>
      <c r="BJ494" s="765">
        <v>206</v>
      </c>
      <c r="BK494" s="765">
        <v>2050</v>
      </c>
      <c r="BL494" s="771">
        <v>5470</v>
      </c>
    </row>
    <row r="495" spans="35:64" x14ac:dyDescent="0.3">
      <c r="AI495" s="763" t="s">
        <v>945</v>
      </c>
      <c r="AJ495" s="764">
        <v>23500</v>
      </c>
      <c r="AK495" s="765">
        <v>766</v>
      </c>
      <c r="AL495" s="765">
        <v>14.9</v>
      </c>
      <c r="AM495" s="765">
        <v>267</v>
      </c>
      <c r="AN495" s="765">
        <v>23.6</v>
      </c>
      <c r="AO495" s="767" t="s">
        <v>946</v>
      </c>
      <c r="AP495" s="767">
        <v>49</v>
      </c>
      <c r="AQ495" s="765">
        <v>28</v>
      </c>
      <c r="AR495" s="770">
        <v>30</v>
      </c>
      <c r="AS495" s="766">
        <v>132</v>
      </c>
      <c r="AT495" s="765">
        <v>196</v>
      </c>
      <c r="AU495" s="767">
        <v>5.28</v>
      </c>
      <c r="AV495" s="768">
        <v>46.1</v>
      </c>
      <c r="AW495" s="765">
        <v>2400</v>
      </c>
      <c r="AX495" s="765">
        <v>6240</v>
      </c>
      <c r="AY495" s="765">
        <v>323</v>
      </c>
      <c r="AZ495" s="765">
        <v>9970</v>
      </c>
      <c r="BA495" s="765">
        <v>250</v>
      </c>
      <c r="BB495" s="765">
        <v>1310</v>
      </c>
      <c r="BC495" s="765">
        <v>87.2</v>
      </c>
      <c r="BD495" s="765">
        <v>2020</v>
      </c>
      <c r="BE495" s="767">
        <v>0.57633279151112426</v>
      </c>
      <c r="BF495" s="768">
        <v>745.9</v>
      </c>
      <c r="BG495" s="765">
        <v>6510</v>
      </c>
      <c r="BH495" s="765">
        <v>34800</v>
      </c>
      <c r="BI495" s="765">
        <v>71000</v>
      </c>
      <c r="BJ495" s="765">
        <v>183</v>
      </c>
      <c r="BK495" s="765">
        <v>1840</v>
      </c>
      <c r="BL495" s="771">
        <v>4920</v>
      </c>
    </row>
    <row r="496" spans="35:64" x14ac:dyDescent="0.3">
      <c r="AI496" s="763" t="s">
        <v>947</v>
      </c>
      <c r="AJ496" s="764">
        <v>22100</v>
      </c>
      <c r="AK496" s="765">
        <v>762</v>
      </c>
      <c r="AL496" s="765">
        <v>14.4</v>
      </c>
      <c r="AM496" s="765">
        <v>267</v>
      </c>
      <c r="AN496" s="765">
        <v>21.6</v>
      </c>
      <c r="AO496" s="767" t="s">
        <v>948</v>
      </c>
      <c r="AP496" s="767">
        <v>52</v>
      </c>
      <c r="AQ496" s="765">
        <v>29</v>
      </c>
      <c r="AR496" s="770">
        <v>30</v>
      </c>
      <c r="AS496" s="766">
        <v>124</v>
      </c>
      <c r="AT496" s="765">
        <v>185</v>
      </c>
      <c r="AU496" s="767">
        <v>5.66</v>
      </c>
      <c r="AV496" s="768">
        <v>48.2</v>
      </c>
      <c r="AW496" s="765">
        <v>2230</v>
      </c>
      <c r="AX496" s="765">
        <v>5820</v>
      </c>
      <c r="AY496" s="765">
        <v>315</v>
      </c>
      <c r="AZ496" s="765">
        <v>8190</v>
      </c>
      <c r="BA496" s="765">
        <v>94.4</v>
      </c>
      <c r="BB496" s="765">
        <v>710</v>
      </c>
      <c r="BC496" s="765">
        <v>58</v>
      </c>
      <c r="BD496" s="765">
        <v>1110</v>
      </c>
      <c r="BE496" s="767">
        <v>0.39540064687899579</v>
      </c>
      <c r="BF496" s="768">
        <v>749</v>
      </c>
      <c r="BG496" s="765">
        <v>6050</v>
      </c>
      <c r="BH496" s="765">
        <v>13200</v>
      </c>
      <c r="BI496" s="765">
        <v>49800</v>
      </c>
      <c r="BJ496" s="765">
        <v>99.4</v>
      </c>
      <c r="BK496" s="765">
        <v>1400</v>
      </c>
      <c r="BL496" s="771">
        <v>4050</v>
      </c>
    </row>
    <row r="497" spans="35:64" x14ac:dyDescent="0.3">
      <c r="AI497" s="763" t="s">
        <v>949</v>
      </c>
      <c r="AJ497" s="764">
        <v>20400</v>
      </c>
      <c r="AK497" s="765">
        <v>758</v>
      </c>
      <c r="AL497" s="765">
        <v>13.8</v>
      </c>
      <c r="AM497" s="765">
        <v>266</v>
      </c>
      <c r="AN497" s="765">
        <v>19.3</v>
      </c>
      <c r="AO497" s="767" t="s">
        <v>950</v>
      </c>
      <c r="AP497" s="767">
        <v>47</v>
      </c>
      <c r="AQ497" s="765">
        <v>28</v>
      </c>
      <c r="AR497" s="770">
        <v>30</v>
      </c>
      <c r="AS497" s="766">
        <v>116</v>
      </c>
      <c r="AT497" s="765">
        <v>173</v>
      </c>
      <c r="AU497" s="767">
        <v>6.18</v>
      </c>
      <c r="AV497" s="768">
        <v>49.9</v>
      </c>
      <c r="AW497" s="765">
        <v>2060</v>
      </c>
      <c r="AX497" s="765">
        <v>5400</v>
      </c>
      <c r="AY497" s="765">
        <v>309</v>
      </c>
      <c r="AZ497" s="765">
        <v>7170</v>
      </c>
      <c r="BA497" s="765">
        <v>81.7</v>
      </c>
      <c r="BB497" s="765">
        <v>610</v>
      </c>
      <c r="BC497" s="765">
        <v>57.1</v>
      </c>
      <c r="BD497" s="765">
        <v>959</v>
      </c>
      <c r="BE497" s="767">
        <v>0.39240346186648062</v>
      </c>
      <c r="BF497" s="768">
        <v>744.6</v>
      </c>
      <c r="BG497" s="765">
        <v>4040</v>
      </c>
      <c r="BH497" s="765">
        <v>11300</v>
      </c>
      <c r="BI497" s="765">
        <v>49900</v>
      </c>
      <c r="BJ497" s="765">
        <v>84.9</v>
      </c>
      <c r="BK497" s="765">
        <v>1190</v>
      </c>
      <c r="BL497" s="771">
        <v>3540</v>
      </c>
    </row>
    <row r="498" spans="35:64" x14ac:dyDescent="0.3">
      <c r="AI498" s="763" t="s">
        <v>951</v>
      </c>
      <c r="AJ498" s="764">
        <v>18700</v>
      </c>
      <c r="AK498" s="765">
        <v>753</v>
      </c>
      <c r="AL498" s="765">
        <v>13.2</v>
      </c>
      <c r="AM498" s="765">
        <v>265</v>
      </c>
      <c r="AN498" s="765">
        <v>17</v>
      </c>
      <c r="AO498" s="767" t="s">
        <v>952</v>
      </c>
      <c r="AP498" s="767">
        <v>45</v>
      </c>
      <c r="AQ498" s="765">
        <v>28</v>
      </c>
      <c r="AR498" s="770">
        <v>30</v>
      </c>
      <c r="AS498" s="766">
        <v>108</v>
      </c>
      <c r="AT498" s="765">
        <v>161</v>
      </c>
      <c r="AU498" s="767">
        <v>6.89</v>
      </c>
      <c r="AV498" s="768">
        <v>52.1</v>
      </c>
      <c r="AW498" s="765">
        <v>1860</v>
      </c>
      <c r="AX498" s="765">
        <v>4900</v>
      </c>
      <c r="AY498" s="765">
        <v>308</v>
      </c>
      <c r="AZ498" s="765">
        <v>6690</v>
      </c>
      <c r="BA498" s="765">
        <v>75.099999999999994</v>
      </c>
      <c r="BB498" s="765">
        <v>563</v>
      </c>
      <c r="BC498" s="765">
        <v>56.5</v>
      </c>
      <c r="BD498" s="765">
        <v>884</v>
      </c>
      <c r="BE498" s="767">
        <v>0.38873871800617871</v>
      </c>
      <c r="BF498" s="768">
        <v>742.4</v>
      </c>
      <c r="BG498" s="765">
        <v>3330</v>
      </c>
      <c r="BH498" s="765">
        <v>10300</v>
      </c>
      <c r="BI498" s="765">
        <v>49600</v>
      </c>
      <c r="BJ498" s="765">
        <v>78.099999999999994</v>
      </c>
      <c r="BK498" s="765">
        <v>1100</v>
      </c>
      <c r="BL498" s="771">
        <v>3300</v>
      </c>
    </row>
    <row r="499" spans="35:64" x14ac:dyDescent="0.3">
      <c r="AI499" s="763" t="s">
        <v>953</v>
      </c>
      <c r="AJ499" s="764">
        <v>17000</v>
      </c>
      <c r="AK499" s="765">
        <v>750</v>
      </c>
      <c r="AL499" s="765">
        <v>11.9</v>
      </c>
      <c r="AM499" s="765">
        <v>264</v>
      </c>
      <c r="AN499" s="765">
        <v>15.5</v>
      </c>
      <c r="AO499" s="767" t="s">
        <v>954</v>
      </c>
      <c r="AP499" s="767">
        <v>43</v>
      </c>
      <c r="AQ499" s="769">
        <v>28</v>
      </c>
      <c r="AR499" s="770">
        <v>30</v>
      </c>
      <c r="AS499" s="766">
        <v>99</v>
      </c>
      <c r="AT499" s="768">
        <v>147</v>
      </c>
      <c r="AU499" s="767">
        <v>7.79</v>
      </c>
      <c r="AV499" s="768">
        <v>54.5</v>
      </c>
      <c r="AW499" s="765">
        <v>1660</v>
      </c>
      <c r="AX499" s="765">
        <v>4410</v>
      </c>
      <c r="AY499" s="765">
        <v>305</v>
      </c>
      <c r="AZ499" s="765">
        <v>6210</v>
      </c>
      <c r="BA499" s="765">
        <v>68.7</v>
      </c>
      <c r="BB499" s="765">
        <v>515</v>
      </c>
      <c r="BC499" s="765">
        <v>55.7</v>
      </c>
      <c r="BD499" s="765">
        <v>810</v>
      </c>
      <c r="BE499" s="767">
        <v>0.38597131545300939</v>
      </c>
      <c r="BF499" s="768">
        <v>740.4</v>
      </c>
      <c r="BG499" s="765">
        <v>2690</v>
      </c>
      <c r="BH499" s="765">
        <v>9420</v>
      </c>
      <c r="BI499" s="765">
        <v>49400</v>
      </c>
      <c r="BJ499" s="765">
        <v>71.3</v>
      </c>
      <c r="BK499" s="765">
        <v>1010</v>
      </c>
      <c r="BL499" s="771">
        <v>3070</v>
      </c>
    </row>
    <row r="500" spans="35:64" x14ac:dyDescent="0.3">
      <c r="AI500" s="763" t="s">
        <v>955</v>
      </c>
      <c r="AJ500" s="764">
        <v>102000</v>
      </c>
      <c r="AK500" s="765">
        <v>826</v>
      </c>
      <c r="AL500" s="765">
        <v>50</v>
      </c>
      <c r="AM500" s="765">
        <v>387</v>
      </c>
      <c r="AN500" s="765">
        <v>89.9</v>
      </c>
      <c r="AO500" s="767" t="s">
        <v>956</v>
      </c>
      <c r="AP500" s="767">
        <v>41</v>
      </c>
      <c r="AQ500" s="769">
        <v>27</v>
      </c>
      <c r="AR500" s="770">
        <v>30</v>
      </c>
      <c r="AS500" s="766">
        <v>90</v>
      </c>
      <c r="AT500" s="768">
        <v>134</v>
      </c>
      <c r="AU500" s="767">
        <v>8.52</v>
      </c>
      <c r="AV500" s="768">
        <v>60.4</v>
      </c>
      <c r="AW500" s="765">
        <v>1500</v>
      </c>
      <c r="AX500" s="765">
        <v>4010</v>
      </c>
      <c r="AY500" s="765">
        <v>302</v>
      </c>
      <c r="AZ500" s="765">
        <v>5660</v>
      </c>
      <c r="BA500" s="765">
        <v>60.7</v>
      </c>
      <c r="BB500" s="765">
        <v>457</v>
      </c>
      <c r="BC500" s="765">
        <v>54.5</v>
      </c>
      <c r="BD500" s="765">
        <v>720</v>
      </c>
      <c r="BE500" s="767">
        <v>0.380370403225126</v>
      </c>
      <c r="BF500" s="768">
        <v>738.7</v>
      </c>
      <c r="BG500" s="765">
        <v>2070</v>
      </c>
      <c r="BH500" s="765">
        <v>8280</v>
      </c>
      <c r="BI500" s="765">
        <v>49100</v>
      </c>
      <c r="BJ500" s="765">
        <v>63</v>
      </c>
      <c r="BK500" s="765">
        <v>899</v>
      </c>
      <c r="BL500" s="771">
        <v>2790</v>
      </c>
    </row>
    <row r="501" spans="35:64" x14ac:dyDescent="0.3">
      <c r="AI501" s="763" t="s">
        <v>957</v>
      </c>
      <c r="AJ501" s="764">
        <v>69900</v>
      </c>
      <c r="AK501" s="765">
        <v>772</v>
      </c>
      <c r="AL501" s="765">
        <v>35.1</v>
      </c>
      <c r="AM501" s="765">
        <v>372</v>
      </c>
      <c r="AN501" s="765">
        <v>63</v>
      </c>
      <c r="AO501" s="767" t="s">
        <v>958</v>
      </c>
      <c r="AP501" s="767">
        <v>39</v>
      </c>
      <c r="AQ501" s="772">
        <v>27</v>
      </c>
      <c r="AR501" s="770">
        <v>30</v>
      </c>
      <c r="AS501" s="766">
        <v>539</v>
      </c>
      <c r="AT501" s="765">
        <v>802</v>
      </c>
      <c r="AU501" s="767">
        <v>2.15</v>
      </c>
      <c r="AV501" s="768">
        <v>12.9</v>
      </c>
      <c r="AW501" s="765">
        <v>10600</v>
      </c>
      <c r="AX501" s="765">
        <v>25700</v>
      </c>
      <c r="AY501" s="765">
        <v>298</v>
      </c>
      <c r="AZ501" s="765">
        <v>5100</v>
      </c>
      <c r="BA501" s="765">
        <v>52.9</v>
      </c>
      <c r="BB501" s="765">
        <v>399</v>
      </c>
      <c r="BC501" s="765">
        <v>53.1</v>
      </c>
      <c r="BD501" s="765">
        <v>631</v>
      </c>
      <c r="BE501" s="767">
        <v>0.37357076250265181</v>
      </c>
      <c r="BF501" s="768">
        <v>736</v>
      </c>
      <c r="BG501" s="765">
        <v>1560</v>
      </c>
      <c r="BH501" s="765">
        <v>7160</v>
      </c>
      <c r="BI501" s="765">
        <v>48800</v>
      </c>
      <c r="BJ501" s="765">
        <v>54.9</v>
      </c>
      <c r="BK501" s="765">
        <v>788</v>
      </c>
      <c r="BL501" s="771">
        <v>2510</v>
      </c>
    </row>
    <row r="502" spans="35:64" x14ac:dyDescent="0.3">
      <c r="AI502" s="763" t="s">
        <v>959</v>
      </c>
      <c r="AJ502" s="764">
        <v>63800</v>
      </c>
      <c r="AK502" s="765">
        <v>762</v>
      </c>
      <c r="AL502" s="765">
        <v>32</v>
      </c>
      <c r="AM502" s="765">
        <v>369</v>
      </c>
      <c r="AN502" s="765">
        <v>57.9</v>
      </c>
      <c r="AO502" s="767" t="s">
        <v>960</v>
      </c>
      <c r="AP502" s="767">
        <v>37</v>
      </c>
      <c r="AQ502" s="769">
        <v>26</v>
      </c>
      <c r="AR502" s="770">
        <v>30</v>
      </c>
      <c r="AS502" s="766">
        <v>368</v>
      </c>
      <c r="AT502" s="765">
        <v>548</v>
      </c>
      <c r="AU502" s="767">
        <v>2.95</v>
      </c>
      <c r="AV502" s="768">
        <v>18.399999999999999</v>
      </c>
      <c r="AW502" s="765">
        <v>6730</v>
      </c>
      <c r="AX502" s="765">
        <v>17400</v>
      </c>
      <c r="AY502" s="765">
        <v>297</v>
      </c>
      <c r="AZ502" s="765">
        <v>4630</v>
      </c>
      <c r="BA502" s="765">
        <v>47.7</v>
      </c>
      <c r="BB502" s="765">
        <v>361</v>
      </c>
      <c r="BC502" s="765">
        <v>53</v>
      </c>
      <c r="BD502" s="765">
        <v>568</v>
      </c>
      <c r="BE502" s="767">
        <v>0.37162947487321751</v>
      </c>
      <c r="BF502" s="768">
        <v>734.5</v>
      </c>
      <c r="BG502" s="765">
        <v>1180</v>
      </c>
      <c r="BH502" s="765">
        <v>6430</v>
      </c>
      <c r="BI502" s="765">
        <v>48500</v>
      </c>
      <c r="BJ502" s="765">
        <v>49.6</v>
      </c>
      <c r="BK502" s="765">
        <v>718</v>
      </c>
      <c r="BL502" s="771">
        <v>2270</v>
      </c>
    </row>
    <row r="503" spans="35:64" x14ac:dyDescent="0.3">
      <c r="AI503" s="763" t="s">
        <v>961</v>
      </c>
      <c r="AJ503" s="764">
        <v>58400</v>
      </c>
      <c r="AK503" s="765">
        <v>752</v>
      </c>
      <c r="AL503" s="765">
        <v>29.5</v>
      </c>
      <c r="AM503" s="765">
        <v>367</v>
      </c>
      <c r="AN503" s="765">
        <v>53.1</v>
      </c>
      <c r="AO503" s="767" t="s">
        <v>962</v>
      </c>
      <c r="AP503" s="767">
        <v>112</v>
      </c>
      <c r="AQ503" s="769">
        <v>45</v>
      </c>
      <c r="AR503" s="770">
        <v>27</v>
      </c>
      <c r="AS503" s="766">
        <v>336</v>
      </c>
      <c r="AT503" s="765">
        <v>500</v>
      </c>
      <c r="AU503" s="767">
        <v>3.19</v>
      </c>
      <c r="AV503" s="768">
        <v>20.2</v>
      </c>
      <c r="AW503" s="765">
        <v>6060</v>
      </c>
      <c r="AX503" s="765">
        <v>15900</v>
      </c>
      <c r="AY503" s="765">
        <v>322</v>
      </c>
      <c r="AZ503" s="765">
        <v>30900</v>
      </c>
      <c r="BA503" s="765">
        <v>875</v>
      </c>
      <c r="BB503" s="765">
        <v>4520</v>
      </c>
      <c r="BC503" s="765">
        <v>92.5</v>
      </c>
      <c r="BD503" s="765">
        <v>7150</v>
      </c>
      <c r="BE503" s="767">
        <v>0.63011844405639295</v>
      </c>
      <c r="BF503" s="768">
        <v>736.1</v>
      </c>
      <c r="BG503" s="765">
        <v>206000</v>
      </c>
      <c r="BH503" s="765">
        <v>119000</v>
      </c>
      <c r="BI503" s="765">
        <v>71200</v>
      </c>
      <c r="BJ503" s="765">
        <v>619</v>
      </c>
      <c r="BK503" s="765">
        <v>5580</v>
      </c>
      <c r="BL503" s="771">
        <v>15400</v>
      </c>
    </row>
    <row r="504" spans="35:64" x14ac:dyDescent="0.3">
      <c r="AI504" s="763" t="s">
        <v>963</v>
      </c>
      <c r="AJ504" s="764">
        <v>53400</v>
      </c>
      <c r="AK504" s="765">
        <v>744</v>
      </c>
      <c r="AL504" s="765">
        <v>26.9</v>
      </c>
      <c r="AM504" s="765">
        <v>364</v>
      </c>
      <c r="AN504" s="765">
        <v>49</v>
      </c>
      <c r="AO504" s="767" t="s">
        <v>964</v>
      </c>
      <c r="AP504" s="767">
        <v>85</v>
      </c>
      <c r="AQ504" s="769">
        <v>38</v>
      </c>
      <c r="AR504" s="770">
        <v>27</v>
      </c>
      <c r="AS504" s="766">
        <v>307</v>
      </c>
      <c r="AT504" s="765">
        <v>457</v>
      </c>
      <c r="AU504" s="767">
        <v>3.46</v>
      </c>
      <c r="AV504" s="768">
        <v>21.9</v>
      </c>
      <c r="AW504" s="765">
        <v>5470</v>
      </c>
      <c r="AX504" s="765">
        <v>14500</v>
      </c>
      <c r="AY504" s="765">
        <v>310</v>
      </c>
      <c r="AZ504" s="765">
        <v>20400</v>
      </c>
      <c r="BA504" s="765">
        <v>543</v>
      </c>
      <c r="BB504" s="765">
        <v>2920</v>
      </c>
      <c r="BC504" s="765">
        <v>88.1</v>
      </c>
      <c r="BD504" s="765">
        <v>4570</v>
      </c>
      <c r="BE504" s="767">
        <v>0.5913865280045677</v>
      </c>
      <c r="BF504" s="768">
        <v>709</v>
      </c>
      <c r="BG504" s="765">
        <v>70700</v>
      </c>
      <c r="BH504" s="765">
        <v>68200</v>
      </c>
      <c r="BI504" s="765">
        <v>65900</v>
      </c>
      <c r="BJ504" s="765">
        <v>386</v>
      </c>
      <c r="BK504" s="765">
        <v>3760</v>
      </c>
      <c r="BL504" s="771">
        <v>10100</v>
      </c>
    </row>
    <row r="505" spans="35:64" x14ac:dyDescent="0.3">
      <c r="AI505" s="763" t="s">
        <v>965</v>
      </c>
      <c r="AJ505" s="764">
        <v>49000</v>
      </c>
      <c r="AK505" s="765">
        <v>736</v>
      </c>
      <c r="AL505" s="765">
        <v>24.9</v>
      </c>
      <c r="AM505" s="765">
        <v>362</v>
      </c>
      <c r="AN505" s="765">
        <v>45</v>
      </c>
      <c r="AO505" s="767" t="s">
        <v>966</v>
      </c>
      <c r="AP505" s="767">
        <v>80</v>
      </c>
      <c r="AQ505" s="769">
        <v>36</v>
      </c>
      <c r="AR505" s="770">
        <v>27</v>
      </c>
      <c r="AS505" s="766">
        <v>281</v>
      </c>
      <c r="AT505" s="765">
        <v>419</v>
      </c>
      <c r="AU505" s="767">
        <v>3.71</v>
      </c>
      <c r="AV505" s="768">
        <v>24</v>
      </c>
      <c r="AW505" s="765">
        <v>4950</v>
      </c>
      <c r="AX505" s="765">
        <v>13300</v>
      </c>
      <c r="AY505" s="765">
        <v>308</v>
      </c>
      <c r="AZ505" s="765">
        <v>18500</v>
      </c>
      <c r="BA505" s="765">
        <v>487</v>
      </c>
      <c r="BB505" s="765">
        <v>2640</v>
      </c>
      <c r="BC505" s="765">
        <v>87.4</v>
      </c>
      <c r="BD505" s="765">
        <v>4110</v>
      </c>
      <c r="BE505" s="767">
        <v>0.58379854219917648</v>
      </c>
      <c r="BF505" s="768">
        <v>704.1</v>
      </c>
      <c r="BG505" s="765">
        <v>54600</v>
      </c>
      <c r="BH505" s="765">
        <v>60300</v>
      </c>
      <c r="BI505" s="765">
        <v>65000</v>
      </c>
      <c r="BJ505" s="765">
        <v>347</v>
      </c>
      <c r="BK505" s="765">
        <v>3430</v>
      </c>
      <c r="BL505" s="771">
        <v>9190</v>
      </c>
    </row>
    <row r="506" spans="35:64" x14ac:dyDescent="0.3">
      <c r="AI506" s="763" t="s">
        <v>967</v>
      </c>
      <c r="AJ506" s="764">
        <v>44700</v>
      </c>
      <c r="AK506" s="765">
        <v>728</v>
      </c>
      <c r="AL506" s="765">
        <v>23.1</v>
      </c>
      <c r="AM506" s="765">
        <v>360</v>
      </c>
      <c r="AN506" s="765">
        <v>40.9</v>
      </c>
      <c r="AO506" s="767" t="s">
        <v>968</v>
      </c>
      <c r="AP506" s="767">
        <v>75</v>
      </c>
      <c r="AQ506" s="769">
        <v>35</v>
      </c>
      <c r="AR506" s="770">
        <v>27</v>
      </c>
      <c r="AS506" s="766">
        <v>258</v>
      </c>
      <c r="AT506" s="765">
        <v>384</v>
      </c>
      <c r="AU506" s="767">
        <v>4.0199999999999996</v>
      </c>
      <c r="AV506" s="768">
        <v>25.9</v>
      </c>
      <c r="AW506" s="765">
        <v>4490</v>
      </c>
      <c r="AX506" s="765">
        <v>12200</v>
      </c>
      <c r="AY506" s="765">
        <v>306</v>
      </c>
      <c r="AZ506" s="765">
        <v>16800</v>
      </c>
      <c r="BA506" s="765">
        <v>439</v>
      </c>
      <c r="BB506" s="765">
        <v>2390</v>
      </c>
      <c r="BC506" s="765">
        <v>86.7</v>
      </c>
      <c r="BD506" s="765">
        <v>3720</v>
      </c>
      <c r="BE506" s="767">
        <v>0.57839339700406722</v>
      </c>
      <c r="BF506" s="768">
        <v>698.9</v>
      </c>
      <c r="BG506" s="765">
        <v>42300</v>
      </c>
      <c r="BH506" s="765">
        <v>53600</v>
      </c>
      <c r="BI506" s="765">
        <v>64100</v>
      </c>
      <c r="BJ506" s="765">
        <v>312</v>
      </c>
      <c r="BK506" s="765">
        <v>3130</v>
      </c>
      <c r="BL506" s="771">
        <v>8350</v>
      </c>
    </row>
    <row r="507" spans="35:64" x14ac:dyDescent="0.3">
      <c r="AI507" s="763" t="s">
        <v>969</v>
      </c>
      <c r="AJ507" s="764">
        <v>41300</v>
      </c>
      <c r="AK507" s="765">
        <v>722</v>
      </c>
      <c r="AL507" s="765">
        <v>21.1</v>
      </c>
      <c r="AM507" s="765">
        <v>359</v>
      </c>
      <c r="AN507" s="765">
        <v>38.1</v>
      </c>
      <c r="AO507" s="767" t="s">
        <v>970</v>
      </c>
      <c r="AP507" s="767">
        <v>71</v>
      </c>
      <c r="AQ507" s="769">
        <v>34</v>
      </c>
      <c r="AR507" s="770">
        <v>27</v>
      </c>
      <c r="AS507" s="766">
        <v>235</v>
      </c>
      <c r="AT507" s="765">
        <v>350</v>
      </c>
      <c r="AU507" s="767">
        <v>4.4000000000000004</v>
      </c>
      <c r="AV507" s="768">
        <v>28</v>
      </c>
      <c r="AW507" s="765">
        <v>4030</v>
      </c>
      <c r="AX507" s="765">
        <v>11100</v>
      </c>
      <c r="AY507" s="765">
        <v>305</v>
      </c>
      <c r="AZ507" s="765">
        <v>15300</v>
      </c>
      <c r="BA507" s="765">
        <v>395</v>
      </c>
      <c r="BB507" s="765">
        <v>2170</v>
      </c>
      <c r="BC507" s="765">
        <v>86</v>
      </c>
      <c r="BD507" s="765">
        <v>3370</v>
      </c>
      <c r="BE507" s="767">
        <v>0.57128529869270284</v>
      </c>
      <c r="BF507" s="768">
        <v>695</v>
      </c>
      <c r="BG507" s="765">
        <v>33000</v>
      </c>
      <c r="BH507" s="765">
        <v>47700</v>
      </c>
      <c r="BI507" s="765">
        <v>63200</v>
      </c>
      <c r="BJ507" s="765">
        <v>282</v>
      </c>
      <c r="BK507" s="765">
        <v>2870</v>
      </c>
      <c r="BL507" s="771">
        <v>7600</v>
      </c>
    </row>
    <row r="508" spans="35:64" x14ac:dyDescent="0.3">
      <c r="AI508" s="763" t="s">
        <v>971</v>
      </c>
      <c r="AJ508" s="764">
        <v>36800</v>
      </c>
      <c r="AK508" s="765">
        <v>714</v>
      </c>
      <c r="AL508" s="765">
        <v>19</v>
      </c>
      <c r="AM508" s="765">
        <v>356</v>
      </c>
      <c r="AN508" s="765">
        <v>34</v>
      </c>
      <c r="AO508" s="767" t="s">
        <v>972</v>
      </c>
      <c r="AP508" s="767">
        <v>67</v>
      </c>
      <c r="AQ508" s="769">
        <v>33</v>
      </c>
      <c r="AR508" s="770">
        <v>27</v>
      </c>
      <c r="AS508" s="766">
        <v>217</v>
      </c>
      <c r="AT508" s="765">
        <v>323</v>
      </c>
      <c r="AU508" s="767">
        <v>4.71</v>
      </c>
      <c r="AV508" s="768">
        <v>30.6</v>
      </c>
      <c r="AW508" s="765">
        <v>3710</v>
      </c>
      <c r="AX508" s="765">
        <v>10300</v>
      </c>
      <c r="AY508" s="765">
        <v>303</v>
      </c>
      <c r="AZ508" s="765">
        <v>14000</v>
      </c>
      <c r="BA508" s="765">
        <v>357</v>
      </c>
      <c r="BB508" s="765">
        <v>1970</v>
      </c>
      <c r="BC508" s="765">
        <v>85.3</v>
      </c>
      <c r="BD508" s="765">
        <v>3050</v>
      </c>
      <c r="BE508" s="767">
        <v>0.56537882439755249</v>
      </c>
      <c r="BF508" s="768">
        <v>691</v>
      </c>
      <c r="BG508" s="765">
        <v>25700</v>
      </c>
      <c r="BH508" s="765">
        <v>42600</v>
      </c>
      <c r="BI508" s="765">
        <v>62500</v>
      </c>
      <c r="BJ508" s="765">
        <v>255</v>
      </c>
      <c r="BK508" s="765">
        <v>2620</v>
      </c>
      <c r="BL508" s="771">
        <v>6930</v>
      </c>
    </row>
    <row r="509" spans="35:64" x14ac:dyDescent="0.3">
      <c r="AI509" s="763" t="s">
        <v>973</v>
      </c>
      <c r="AJ509" s="764">
        <v>33800</v>
      </c>
      <c r="AK509" s="765">
        <v>706</v>
      </c>
      <c r="AL509" s="765">
        <v>18.399999999999999</v>
      </c>
      <c r="AM509" s="765">
        <v>358</v>
      </c>
      <c r="AN509" s="765">
        <v>30.2</v>
      </c>
      <c r="AO509" s="767" t="s">
        <v>974</v>
      </c>
      <c r="AP509" s="767">
        <v>63</v>
      </c>
      <c r="AQ509" s="772">
        <v>32</v>
      </c>
      <c r="AR509" s="770">
        <v>27</v>
      </c>
      <c r="AS509" s="766">
        <v>194</v>
      </c>
      <c r="AT509" s="765">
        <v>289</v>
      </c>
      <c r="AU509" s="767">
        <v>5.24</v>
      </c>
      <c r="AV509" s="768">
        <v>34</v>
      </c>
      <c r="AW509" s="765">
        <v>3260</v>
      </c>
      <c r="AX509" s="765">
        <v>9140</v>
      </c>
      <c r="AY509" s="765">
        <v>300</v>
      </c>
      <c r="AZ509" s="765">
        <v>12600</v>
      </c>
      <c r="BA509" s="765">
        <v>319</v>
      </c>
      <c r="BB509" s="765">
        <v>1770</v>
      </c>
      <c r="BC509" s="765">
        <v>84.4</v>
      </c>
      <c r="BD509" s="765">
        <v>2740</v>
      </c>
      <c r="BE509" s="767">
        <v>0.55857712013524929</v>
      </c>
      <c r="BF509" s="768">
        <v>687.1</v>
      </c>
      <c r="BG509" s="765">
        <v>19500</v>
      </c>
      <c r="BH509" s="765">
        <v>37600</v>
      </c>
      <c r="BI509" s="765">
        <v>61800</v>
      </c>
      <c r="BJ509" s="765">
        <v>228</v>
      </c>
      <c r="BK509" s="765">
        <v>2370</v>
      </c>
      <c r="BL509" s="771">
        <v>6260</v>
      </c>
    </row>
    <row r="510" spans="35:64" x14ac:dyDescent="0.3">
      <c r="AI510" s="763" t="s">
        <v>975</v>
      </c>
      <c r="AJ510" s="764">
        <v>30700</v>
      </c>
      <c r="AK510" s="765">
        <v>701</v>
      </c>
      <c r="AL510" s="765">
        <v>16.8</v>
      </c>
      <c r="AM510" s="773">
        <v>356</v>
      </c>
      <c r="AN510" s="765">
        <v>27.4</v>
      </c>
      <c r="AO510" s="767" t="s">
        <v>976</v>
      </c>
      <c r="AP510" s="767">
        <v>60</v>
      </c>
      <c r="AQ510" s="769">
        <v>31</v>
      </c>
      <c r="AR510" s="770">
        <v>27</v>
      </c>
      <c r="AS510" s="766">
        <v>178</v>
      </c>
      <c r="AT510" s="765">
        <v>265</v>
      </c>
      <c r="AU510" s="767">
        <v>5.93</v>
      </c>
      <c r="AV510" s="768">
        <v>35.1</v>
      </c>
      <c r="AW510" s="765">
        <v>2920</v>
      </c>
      <c r="AX510" s="765">
        <v>8270</v>
      </c>
      <c r="AY510" s="765">
        <v>300</v>
      </c>
      <c r="AZ510" s="765">
        <v>11700</v>
      </c>
      <c r="BA510" s="765">
        <v>294</v>
      </c>
      <c r="BB510" s="765">
        <v>1640</v>
      </c>
      <c r="BC510" s="765">
        <v>84.4</v>
      </c>
      <c r="BD510" s="765">
        <v>2530</v>
      </c>
      <c r="BE510" s="767">
        <v>0.55565833198791115</v>
      </c>
      <c r="BF510" s="768">
        <v>683.9</v>
      </c>
      <c r="BG510" s="765">
        <v>15700</v>
      </c>
      <c r="BH510" s="765">
        <v>34400</v>
      </c>
      <c r="BI510" s="765">
        <v>61400</v>
      </c>
      <c r="BJ510" s="765">
        <v>210</v>
      </c>
      <c r="BK510" s="765">
        <v>2200</v>
      </c>
      <c r="BL510" s="771">
        <v>5780</v>
      </c>
    </row>
    <row r="511" spans="35:64" x14ac:dyDescent="0.3">
      <c r="AI511" s="763" t="s">
        <v>977</v>
      </c>
      <c r="AJ511" s="764">
        <v>27900</v>
      </c>
      <c r="AK511" s="765">
        <v>695</v>
      </c>
      <c r="AL511" s="765">
        <v>15.4</v>
      </c>
      <c r="AM511" s="773">
        <v>355</v>
      </c>
      <c r="AN511" s="765">
        <v>24.8</v>
      </c>
      <c r="AO511" s="767" t="s">
        <v>978</v>
      </c>
      <c r="AP511" s="767">
        <v>56</v>
      </c>
      <c r="AQ511" s="765">
        <v>30</v>
      </c>
      <c r="AR511" s="770">
        <v>27</v>
      </c>
      <c r="AS511" s="766">
        <v>161</v>
      </c>
      <c r="AT511" s="765">
        <v>240</v>
      </c>
      <c r="AU511" s="767">
        <v>6.5</v>
      </c>
      <c r="AV511" s="768">
        <v>38.5</v>
      </c>
      <c r="AW511" s="765">
        <v>2630</v>
      </c>
      <c r="AX511" s="765">
        <v>7490</v>
      </c>
      <c r="AY511" s="765">
        <v>298</v>
      </c>
      <c r="AZ511" s="765">
        <v>10300</v>
      </c>
      <c r="BA511" s="765">
        <v>256</v>
      </c>
      <c r="BB511" s="765">
        <v>1440</v>
      </c>
      <c r="BC511" s="765">
        <v>83.4</v>
      </c>
      <c r="BD511" s="765">
        <v>2220</v>
      </c>
      <c r="BE511" s="767">
        <v>0.54879458970617623</v>
      </c>
      <c r="BF511" s="768">
        <v>680</v>
      </c>
      <c r="BG511" s="765">
        <v>11200</v>
      </c>
      <c r="BH511" s="765">
        <v>29600</v>
      </c>
      <c r="BI511" s="765">
        <v>60500</v>
      </c>
      <c r="BJ511" s="765">
        <v>183</v>
      </c>
      <c r="BK511" s="765">
        <v>1950</v>
      </c>
      <c r="BL511" s="771">
        <v>5110</v>
      </c>
    </row>
    <row r="512" spans="35:64" x14ac:dyDescent="0.3">
      <c r="AI512" s="763" t="s">
        <v>979</v>
      </c>
      <c r="AJ512" s="764">
        <v>24400</v>
      </c>
      <c r="AK512" s="765">
        <v>702</v>
      </c>
      <c r="AL512" s="765">
        <v>15.5</v>
      </c>
      <c r="AM512" s="765">
        <v>254</v>
      </c>
      <c r="AN512" s="765">
        <v>27.9</v>
      </c>
      <c r="AO512" s="767" t="s">
        <v>980</v>
      </c>
      <c r="AP512" s="767">
        <v>52</v>
      </c>
      <c r="AQ512" s="765">
        <v>30</v>
      </c>
      <c r="AR512" s="770">
        <v>27</v>
      </c>
      <c r="AS512" s="766">
        <v>146</v>
      </c>
      <c r="AT512" s="765">
        <v>217</v>
      </c>
      <c r="AU512" s="767">
        <v>7.16</v>
      </c>
      <c r="AV512" s="768">
        <v>41.9</v>
      </c>
      <c r="AW512" s="765">
        <v>2360</v>
      </c>
      <c r="AX512" s="765">
        <v>6790</v>
      </c>
      <c r="AY512" s="765">
        <v>294</v>
      </c>
      <c r="AZ512" s="765">
        <v>9330</v>
      </c>
      <c r="BA512" s="765">
        <v>231</v>
      </c>
      <c r="BB512" s="765">
        <v>1290</v>
      </c>
      <c r="BC512" s="765">
        <v>82.7</v>
      </c>
      <c r="BD512" s="765">
        <v>1990</v>
      </c>
      <c r="BE512" s="767">
        <v>0.54645099605064329</v>
      </c>
      <c r="BF512" s="768">
        <v>675.8</v>
      </c>
      <c r="BG512" s="765">
        <v>8340</v>
      </c>
      <c r="BH512" s="765">
        <v>26400</v>
      </c>
      <c r="BI512" s="765">
        <v>60500</v>
      </c>
      <c r="BJ512" s="765">
        <v>163</v>
      </c>
      <c r="BK512" s="765">
        <v>1730</v>
      </c>
      <c r="BL512" s="771">
        <v>4610</v>
      </c>
    </row>
    <row r="513" spans="35:64" x14ac:dyDescent="0.3">
      <c r="AI513" s="763" t="s">
        <v>981</v>
      </c>
      <c r="AJ513" s="764">
        <v>21600</v>
      </c>
      <c r="AK513" s="765">
        <v>693</v>
      </c>
      <c r="AL513" s="765">
        <v>14.5</v>
      </c>
      <c r="AM513" s="765">
        <v>256</v>
      </c>
      <c r="AN513" s="765">
        <v>23.6</v>
      </c>
      <c r="AO513" s="767" t="s">
        <v>982</v>
      </c>
      <c r="AP513" s="767">
        <v>49</v>
      </c>
      <c r="AQ513" s="765">
        <v>29</v>
      </c>
      <c r="AR513" s="770">
        <v>27</v>
      </c>
      <c r="AS513" s="766">
        <v>129</v>
      </c>
      <c r="AT513" s="765">
        <v>192</v>
      </c>
      <c r="AU513" s="767">
        <v>4.55</v>
      </c>
      <c r="AV513" s="768">
        <v>41.7</v>
      </c>
      <c r="AW513" s="765">
        <v>1980</v>
      </c>
      <c r="AX513" s="765">
        <v>5640</v>
      </c>
      <c r="AY513" s="765">
        <v>292</v>
      </c>
      <c r="AZ513" s="765">
        <v>8430</v>
      </c>
      <c r="BA513" s="765">
        <v>206</v>
      </c>
      <c r="BB513" s="765">
        <v>1160</v>
      </c>
      <c r="BC513" s="765">
        <v>82</v>
      </c>
      <c r="BD513" s="765">
        <v>1790</v>
      </c>
      <c r="BE513" s="767">
        <v>0.54141447240022222</v>
      </c>
      <c r="BF513" s="768">
        <v>673.6</v>
      </c>
      <c r="BG513" s="765">
        <v>6270</v>
      </c>
      <c r="BH513" s="765">
        <v>23400</v>
      </c>
      <c r="BI513" s="765">
        <v>60000</v>
      </c>
      <c r="BJ513" s="765">
        <v>146</v>
      </c>
      <c r="BK513" s="765">
        <v>1570</v>
      </c>
      <c r="BL513" s="771">
        <v>4160</v>
      </c>
    </row>
    <row r="514" spans="35:64" x14ac:dyDescent="0.3">
      <c r="AI514" s="763" t="s">
        <v>983</v>
      </c>
      <c r="AJ514" s="764">
        <v>19400</v>
      </c>
      <c r="AK514" s="765">
        <v>688</v>
      </c>
      <c r="AL514" s="765">
        <v>13.1</v>
      </c>
      <c r="AM514" s="765">
        <v>254</v>
      </c>
      <c r="AN514" s="765">
        <v>21.1</v>
      </c>
      <c r="AO514" s="767" t="s">
        <v>984</v>
      </c>
      <c r="AP514" s="767">
        <v>47</v>
      </c>
      <c r="AQ514" s="765">
        <v>28</v>
      </c>
      <c r="AR514" s="770">
        <v>27</v>
      </c>
      <c r="AS514" s="766">
        <v>114</v>
      </c>
      <c r="AT514" s="765">
        <v>170</v>
      </c>
      <c r="AU514" s="767">
        <v>5.42</v>
      </c>
      <c r="AV514" s="768">
        <v>44.5</v>
      </c>
      <c r="AW514" s="765">
        <v>1700</v>
      </c>
      <c r="AX514" s="765">
        <v>4910</v>
      </c>
      <c r="AY514" s="765">
        <v>291</v>
      </c>
      <c r="AZ514" s="765">
        <v>7610</v>
      </c>
      <c r="BA514" s="765">
        <v>185</v>
      </c>
      <c r="BB514" s="765">
        <v>1040</v>
      </c>
      <c r="BC514" s="765">
        <v>81.5</v>
      </c>
      <c r="BD514" s="765">
        <v>1610</v>
      </c>
      <c r="BE514" s="767">
        <v>0.53749431940530445</v>
      </c>
      <c r="BF514" s="768">
        <v>670.2</v>
      </c>
      <c r="BG514" s="765">
        <v>4720</v>
      </c>
      <c r="BH514" s="765">
        <v>20800</v>
      </c>
      <c r="BI514" s="765">
        <v>59500</v>
      </c>
      <c r="BJ514" s="765">
        <v>131</v>
      </c>
      <c r="BK514" s="765">
        <v>1410</v>
      </c>
      <c r="BL514" s="771">
        <v>3750</v>
      </c>
    </row>
    <row r="515" spans="35:64" x14ac:dyDescent="0.3">
      <c r="AI515" s="763" t="s">
        <v>985</v>
      </c>
      <c r="AJ515" s="764">
        <v>17800</v>
      </c>
      <c r="AK515" s="765">
        <v>684</v>
      </c>
      <c r="AL515" s="765">
        <v>12.4</v>
      </c>
      <c r="AM515" s="765">
        <v>254</v>
      </c>
      <c r="AN515" s="765">
        <v>18.899999999999999</v>
      </c>
      <c r="AO515" s="767" t="s">
        <v>986</v>
      </c>
      <c r="AP515" s="767">
        <v>50</v>
      </c>
      <c r="AQ515" s="769">
        <v>28</v>
      </c>
      <c r="AR515" s="770">
        <v>27</v>
      </c>
      <c r="AS515" s="766">
        <v>102</v>
      </c>
      <c r="AT515" s="765">
        <v>152</v>
      </c>
      <c r="AU515" s="767">
        <v>6.02</v>
      </c>
      <c r="AV515" s="768">
        <v>49.3</v>
      </c>
      <c r="AW515" s="765">
        <v>1510</v>
      </c>
      <c r="AX515" s="765">
        <v>4380</v>
      </c>
      <c r="AY515" s="765">
        <v>285</v>
      </c>
      <c r="AZ515" s="765">
        <v>6460</v>
      </c>
      <c r="BA515" s="765">
        <v>76.400000000000006</v>
      </c>
      <c r="BB515" s="765">
        <v>602</v>
      </c>
      <c r="BC515" s="765">
        <v>56</v>
      </c>
      <c r="BD515" s="765">
        <v>941</v>
      </c>
      <c r="BE515" s="767">
        <v>0.37998260778752502</v>
      </c>
      <c r="BF515" s="768">
        <v>674.1</v>
      </c>
      <c r="BG515" s="765">
        <v>4620</v>
      </c>
      <c r="BH515" s="765">
        <v>8680</v>
      </c>
      <c r="BI515" s="765">
        <v>42800</v>
      </c>
      <c r="BJ515" s="765">
        <v>75.8</v>
      </c>
      <c r="BK515" s="765">
        <v>1120</v>
      </c>
      <c r="BL515" s="771">
        <v>3200</v>
      </c>
    </row>
    <row r="516" spans="35:64" x14ac:dyDescent="0.3">
      <c r="AI516" s="763" t="s">
        <v>987</v>
      </c>
      <c r="AJ516" s="764">
        <v>16000</v>
      </c>
      <c r="AK516" s="765">
        <v>678</v>
      </c>
      <c r="AL516" s="765">
        <v>11.7</v>
      </c>
      <c r="AM516" s="765">
        <v>253</v>
      </c>
      <c r="AN516" s="765">
        <v>16.3</v>
      </c>
      <c r="AO516" s="767" t="s">
        <v>988</v>
      </c>
      <c r="AP516" s="767">
        <v>45</v>
      </c>
      <c r="AQ516" s="765">
        <v>28</v>
      </c>
      <c r="AR516" s="770">
        <v>27</v>
      </c>
      <c r="AS516" s="766">
        <v>94</v>
      </c>
      <c r="AT516" s="768">
        <v>140</v>
      </c>
      <c r="AU516" s="767">
        <v>6.72</v>
      </c>
      <c r="AV516" s="768">
        <v>52.1</v>
      </c>
      <c r="AW516" s="765">
        <v>1360</v>
      </c>
      <c r="AX516" s="765">
        <v>3980</v>
      </c>
      <c r="AY516" s="765">
        <v>280</v>
      </c>
      <c r="AZ516" s="765">
        <v>5620</v>
      </c>
      <c r="BA516" s="765">
        <v>66.2</v>
      </c>
      <c r="BB516" s="765">
        <v>517</v>
      </c>
      <c r="BC516" s="765">
        <v>55.3</v>
      </c>
      <c r="BD516" s="765">
        <v>809</v>
      </c>
      <c r="BE516" s="767">
        <v>0.37768375327335918</v>
      </c>
      <c r="BF516" s="768">
        <v>669.4</v>
      </c>
      <c r="BG516" s="765">
        <v>3050</v>
      </c>
      <c r="BH516" s="765">
        <v>7410</v>
      </c>
      <c r="BI516" s="765">
        <v>42800</v>
      </c>
      <c r="BJ516" s="765">
        <v>64.7</v>
      </c>
      <c r="BK516" s="765">
        <v>954</v>
      </c>
      <c r="BL516" s="771">
        <v>2780</v>
      </c>
    </row>
    <row r="517" spans="35:64" x14ac:dyDescent="0.3">
      <c r="AI517" s="763" t="s">
        <v>989</v>
      </c>
      <c r="AJ517" s="764">
        <v>70200</v>
      </c>
      <c r="AK517" s="765">
        <v>711</v>
      </c>
      <c r="AL517" s="765">
        <v>38.6</v>
      </c>
      <c r="AM517" s="765">
        <v>347</v>
      </c>
      <c r="AN517" s="765">
        <v>69.099999999999994</v>
      </c>
      <c r="AO517" s="767" t="s">
        <v>990</v>
      </c>
      <c r="AP517" s="767">
        <v>43</v>
      </c>
      <c r="AQ517" s="769">
        <v>27</v>
      </c>
      <c r="AR517" s="770">
        <v>27</v>
      </c>
      <c r="AS517" s="766">
        <v>84</v>
      </c>
      <c r="AT517" s="768">
        <v>125</v>
      </c>
      <c r="AU517" s="767">
        <v>7.76</v>
      </c>
      <c r="AV517" s="768">
        <v>55.2</v>
      </c>
      <c r="AW517" s="765">
        <v>1190</v>
      </c>
      <c r="AX517" s="765">
        <v>3500</v>
      </c>
      <c r="AY517" s="765">
        <v>279</v>
      </c>
      <c r="AZ517" s="765">
        <v>5000</v>
      </c>
      <c r="BA517" s="765">
        <v>57.8</v>
      </c>
      <c r="BB517" s="765">
        <v>455</v>
      </c>
      <c r="BC517" s="765">
        <v>54.6</v>
      </c>
      <c r="BD517" s="765">
        <v>710</v>
      </c>
      <c r="BE517" s="767">
        <v>0.37293115083233341</v>
      </c>
      <c r="BF517" s="768">
        <v>666.9</v>
      </c>
      <c r="BG517" s="765">
        <v>2200</v>
      </c>
      <c r="BH517" s="765">
        <v>6420</v>
      </c>
      <c r="BI517" s="765">
        <v>42300</v>
      </c>
      <c r="BJ517" s="765">
        <v>56.7</v>
      </c>
      <c r="BK517" s="765">
        <v>847</v>
      </c>
      <c r="BL517" s="771">
        <v>2470</v>
      </c>
    </row>
    <row r="518" spans="35:64" x14ac:dyDescent="0.3">
      <c r="AI518" s="763" t="s">
        <v>991</v>
      </c>
      <c r="AJ518" s="764">
        <v>63500</v>
      </c>
      <c r="AK518" s="765">
        <v>699</v>
      </c>
      <c r="AL518" s="765">
        <v>35.1</v>
      </c>
      <c r="AM518" s="765">
        <v>343</v>
      </c>
      <c r="AN518" s="765">
        <v>63</v>
      </c>
      <c r="AO518" s="767" t="s">
        <v>992</v>
      </c>
      <c r="AP518" s="767">
        <v>41</v>
      </c>
      <c r="AQ518" s="769">
        <v>27</v>
      </c>
      <c r="AR518" s="770">
        <v>27</v>
      </c>
      <c r="AS518" s="766">
        <v>370</v>
      </c>
      <c r="AT518" s="765">
        <v>551</v>
      </c>
      <c r="AU518" s="767">
        <v>2.5099999999999998</v>
      </c>
      <c r="AV518" s="768">
        <v>14.8</v>
      </c>
      <c r="AW518" s="765">
        <v>5570</v>
      </c>
      <c r="AX518" s="765">
        <v>15700</v>
      </c>
      <c r="AY518" s="765">
        <v>276</v>
      </c>
      <c r="AZ518" s="765">
        <v>4550</v>
      </c>
      <c r="BA518" s="765">
        <v>51.7</v>
      </c>
      <c r="BB518" s="765">
        <v>407</v>
      </c>
      <c r="BC518" s="765">
        <v>53.9</v>
      </c>
      <c r="BD518" s="765">
        <v>636</v>
      </c>
      <c r="BE518" s="767">
        <v>0.36964097485105091</v>
      </c>
      <c r="BF518" s="768">
        <v>665.1</v>
      </c>
      <c r="BG518" s="765">
        <v>1670</v>
      </c>
      <c r="BH518" s="765">
        <v>5720</v>
      </c>
      <c r="BI518" s="765">
        <v>42200</v>
      </c>
      <c r="BJ518" s="765">
        <v>50.7</v>
      </c>
      <c r="BK518" s="765">
        <v>759</v>
      </c>
      <c r="BL518" s="771">
        <v>2240</v>
      </c>
    </row>
    <row r="519" spans="35:64" x14ac:dyDescent="0.3">
      <c r="AI519" s="763" t="s">
        <v>993</v>
      </c>
      <c r="AJ519" s="764">
        <v>57900</v>
      </c>
      <c r="AK519" s="765">
        <v>689</v>
      </c>
      <c r="AL519" s="765">
        <v>32</v>
      </c>
      <c r="AM519" s="765">
        <v>340</v>
      </c>
      <c r="AN519" s="765">
        <v>57.9</v>
      </c>
      <c r="AO519" s="767" t="s">
        <v>994</v>
      </c>
      <c r="AP519" s="767">
        <v>38</v>
      </c>
      <c r="AQ519" s="769">
        <v>26</v>
      </c>
      <c r="AR519" s="770">
        <v>27</v>
      </c>
      <c r="AS519" s="766">
        <v>335</v>
      </c>
      <c r="AT519" s="765">
        <v>498</v>
      </c>
      <c r="AU519" s="767">
        <v>2.72</v>
      </c>
      <c r="AV519" s="768">
        <v>16.3</v>
      </c>
      <c r="AW519" s="765">
        <v>4950</v>
      </c>
      <c r="AX519" s="765">
        <v>14200</v>
      </c>
      <c r="AY519" s="765">
        <v>272</v>
      </c>
      <c r="AZ519" s="765">
        <v>4010</v>
      </c>
      <c r="BA519" s="765">
        <v>44.1</v>
      </c>
      <c r="BB519" s="765">
        <v>349</v>
      </c>
      <c r="BC519" s="765">
        <v>52.5</v>
      </c>
      <c r="BD519" s="765">
        <v>546</v>
      </c>
      <c r="BE519" s="767">
        <v>0.36313023263701888</v>
      </c>
      <c r="BF519" s="768">
        <v>661.7</v>
      </c>
      <c r="BG519" s="765">
        <v>1180</v>
      </c>
      <c r="BH519" s="765">
        <v>4830</v>
      </c>
      <c r="BI519" s="765">
        <v>41900</v>
      </c>
      <c r="BJ519" s="765">
        <v>43.1</v>
      </c>
      <c r="BK519" s="765">
        <v>651</v>
      </c>
      <c r="BL519" s="771">
        <v>1970</v>
      </c>
    </row>
    <row r="520" spans="35:64" x14ac:dyDescent="0.3">
      <c r="AI520" s="763" t="s">
        <v>995</v>
      </c>
      <c r="AJ520" s="764">
        <v>52900</v>
      </c>
      <c r="AK520" s="765">
        <v>679</v>
      </c>
      <c r="AL520" s="765">
        <v>29.5</v>
      </c>
      <c r="AM520" s="765">
        <v>338</v>
      </c>
      <c r="AN520" s="765">
        <v>53.1</v>
      </c>
      <c r="AO520" s="767" t="s">
        <v>996</v>
      </c>
      <c r="AP520" s="767">
        <v>91</v>
      </c>
      <c r="AQ520" s="769">
        <v>40</v>
      </c>
      <c r="AR520" s="770">
        <v>24</v>
      </c>
      <c r="AS520" s="766">
        <v>306</v>
      </c>
      <c r="AT520" s="765">
        <v>455</v>
      </c>
      <c r="AU520" s="767">
        <v>2.94</v>
      </c>
      <c r="AV520" s="768">
        <v>17.899999999999999</v>
      </c>
      <c r="AW520" s="765">
        <v>4440</v>
      </c>
      <c r="AX520" s="765">
        <v>12900</v>
      </c>
      <c r="AY520" s="765">
        <v>282</v>
      </c>
      <c r="AZ520" s="765">
        <v>18600</v>
      </c>
      <c r="BA520" s="765">
        <v>484</v>
      </c>
      <c r="BB520" s="765">
        <v>2790</v>
      </c>
      <c r="BC520" s="765">
        <v>83</v>
      </c>
      <c r="BD520" s="765">
        <v>4380</v>
      </c>
      <c r="BE520" s="767">
        <v>0.5594826852401561</v>
      </c>
      <c r="BF520" s="768">
        <v>641.9</v>
      </c>
      <c r="BG520" s="765">
        <v>83800</v>
      </c>
      <c r="BH520" s="765">
        <v>49900</v>
      </c>
      <c r="BI520" s="765">
        <v>55700</v>
      </c>
      <c r="BJ520" s="765">
        <v>334</v>
      </c>
      <c r="BK520" s="765">
        <v>3420</v>
      </c>
      <c r="BL520" s="771">
        <v>9280</v>
      </c>
    </row>
    <row r="521" spans="35:64" x14ac:dyDescent="0.3">
      <c r="AI521" s="763" t="s">
        <v>997</v>
      </c>
      <c r="AJ521" s="764">
        <v>47400</v>
      </c>
      <c r="AK521" s="765">
        <v>669</v>
      </c>
      <c r="AL521" s="765">
        <v>26.4</v>
      </c>
      <c r="AM521" s="765">
        <v>335</v>
      </c>
      <c r="AN521" s="765">
        <v>48</v>
      </c>
      <c r="AO521" s="767" t="s">
        <v>998</v>
      </c>
      <c r="AP521" s="767">
        <v>85</v>
      </c>
      <c r="AQ521" s="769">
        <v>38</v>
      </c>
      <c r="AR521" s="770">
        <v>24</v>
      </c>
      <c r="AS521" s="766">
        <v>279</v>
      </c>
      <c r="AT521" s="765">
        <v>415</v>
      </c>
      <c r="AU521" s="767">
        <v>3.18</v>
      </c>
      <c r="AV521" s="768">
        <v>19.399999999999999</v>
      </c>
      <c r="AW521" s="765">
        <v>4000</v>
      </c>
      <c r="AX521" s="765">
        <v>11800</v>
      </c>
      <c r="AY521" s="765">
        <v>279</v>
      </c>
      <c r="AZ521" s="765">
        <v>16700</v>
      </c>
      <c r="BA521" s="765">
        <v>426</v>
      </c>
      <c r="BB521" s="765">
        <v>2480</v>
      </c>
      <c r="BC521" s="765">
        <v>81.900000000000006</v>
      </c>
      <c r="BD521" s="765">
        <v>3890</v>
      </c>
      <c r="BE521" s="767">
        <v>0.54932269887933649</v>
      </c>
      <c r="BF521" s="768">
        <v>636</v>
      </c>
      <c r="BG521" s="765">
        <v>63200</v>
      </c>
      <c r="BH521" s="765">
        <v>43100</v>
      </c>
      <c r="BI521" s="765">
        <v>54500</v>
      </c>
      <c r="BJ521" s="765">
        <v>295</v>
      </c>
      <c r="BK521" s="765">
        <v>3080</v>
      </c>
      <c r="BL521" s="771">
        <v>8310</v>
      </c>
    </row>
    <row r="522" spans="35:64" x14ac:dyDescent="0.3">
      <c r="AI522" s="763" t="s">
        <v>999</v>
      </c>
      <c r="AJ522" s="764">
        <v>43400</v>
      </c>
      <c r="AK522" s="765">
        <v>661</v>
      </c>
      <c r="AL522" s="765">
        <v>24.4</v>
      </c>
      <c r="AM522" s="765">
        <v>333</v>
      </c>
      <c r="AN522" s="765">
        <v>43.9</v>
      </c>
      <c r="AO522" s="767" t="s">
        <v>1000</v>
      </c>
      <c r="AP522" s="767">
        <v>80</v>
      </c>
      <c r="AQ522" s="769">
        <v>36</v>
      </c>
      <c r="AR522" s="770">
        <v>24</v>
      </c>
      <c r="AS522" s="766">
        <v>250</v>
      </c>
      <c r="AT522" s="765">
        <v>372</v>
      </c>
      <c r="AU522" s="767">
        <v>3.49</v>
      </c>
      <c r="AV522" s="768">
        <v>21.7</v>
      </c>
      <c r="AW522" s="765">
        <v>3530</v>
      </c>
      <c r="AX522" s="765">
        <v>10600</v>
      </c>
      <c r="AY522" s="765">
        <v>277</v>
      </c>
      <c r="AZ522" s="765">
        <v>15100</v>
      </c>
      <c r="BA522" s="765">
        <v>381</v>
      </c>
      <c r="BB522" s="765">
        <v>2240</v>
      </c>
      <c r="BC522" s="765">
        <v>81.099999999999994</v>
      </c>
      <c r="BD522" s="765">
        <v>3500</v>
      </c>
      <c r="BE522" s="767">
        <v>0.54274544992772322</v>
      </c>
      <c r="BF522" s="768">
        <v>631.1</v>
      </c>
      <c r="BG522" s="765">
        <v>48800</v>
      </c>
      <c r="BH522" s="765">
        <v>37900</v>
      </c>
      <c r="BI522" s="765">
        <v>53600</v>
      </c>
      <c r="BJ522" s="765">
        <v>264</v>
      </c>
      <c r="BK522" s="765">
        <v>2810</v>
      </c>
      <c r="BL522" s="771">
        <v>7530</v>
      </c>
    </row>
    <row r="523" spans="35:64" x14ac:dyDescent="0.3">
      <c r="AI523" s="763" t="s">
        <v>1001</v>
      </c>
      <c r="AJ523" s="764">
        <v>39100</v>
      </c>
      <c r="AK523" s="765">
        <v>653</v>
      </c>
      <c r="AL523" s="765">
        <v>22.1</v>
      </c>
      <c r="AM523" s="765">
        <v>330</v>
      </c>
      <c r="AN523" s="765">
        <v>39.9</v>
      </c>
      <c r="AO523" s="767" t="s">
        <v>1002</v>
      </c>
      <c r="AP523" s="767">
        <v>75</v>
      </c>
      <c r="AQ523" s="769">
        <v>35</v>
      </c>
      <c r="AR523" s="770">
        <v>24</v>
      </c>
      <c r="AS523" s="766">
        <v>229</v>
      </c>
      <c r="AT523" s="765">
        <v>341</v>
      </c>
      <c r="AU523" s="767">
        <v>3.79</v>
      </c>
      <c r="AV523" s="768">
        <v>23.5</v>
      </c>
      <c r="AW523" s="765">
        <v>3180</v>
      </c>
      <c r="AX523" s="765">
        <v>9630</v>
      </c>
      <c r="AY523" s="765">
        <v>275</v>
      </c>
      <c r="AZ523" s="765">
        <v>13700</v>
      </c>
      <c r="BA523" s="765">
        <v>343</v>
      </c>
      <c r="BB523" s="765">
        <v>2030</v>
      </c>
      <c r="BC523" s="765">
        <v>80.5</v>
      </c>
      <c r="BD523" s="765">
        <v>3160</v>
      </c>
      <c r="BE523" s="767">
        <v>0.53637354037697027</v>
      </c>
      <c r="BF523" s="768">
        <v>625.9</v>
      </c>
      <c r="BG523" s="765">
        <v>37700</v>
      </c>
      <c r="BH523" s="765">
        <v>33600</v>
      </c>
      <c r="BI523" s="765">
        <v>52900</v>
      </c>
      <c r="BJ523" s="765">
        <v>237</v>
      </c>
      <c r="BK523" s="765">
        <v>2560</v>
      </c>
      <c r="BL523" s="771">
        <v>6830</v>
      </c>
    </row>
    <row r="524" spans="35:64" x14ac:dyDescent="0.3">
      <c r="AI524" s="763" t="s">
        <v>1003</v>
      </c>
      <c r="AJ524" s="764">
        <v>36300</v>
      </c>
      <c r="AK524" s="765">
        <v>647</v>
      </c>
      <c r="AL524" s="765">
        <v>20.6</v>
      </c>
      <c r="AM524" s="765">
        <v>329</v>
      </c>
      <c r="AN524" s="765">
        <v>37.1</v>
      </c>
      <c r="AO524" s="767" t="s">
        <v>1004</v>
      </c>
      <c r="AP524" s="767">
        <v>70</v>
      </c>
      <c r="AQ524" s="769">
        <v>34</v>
      </c>
      <c r="AR524" s="770">
        <v>24</v>
      </c>
      <c r="AS524" s="766">
        <v>207</v>
      </c>
      <c r="AT524" s="765">
        <v>307</v>
      </c>
      <c r="AU524" s="767">
        <v>4.1399999999999997</v>
      </c>
      <c r="AV524" s="768">
        <v>25.9</v>
      </c>
      <c r="AW524" s="765">
        <v>2840</v>
      </c>
      <c r="AX524" s="765">
        <v>8690</v>
      </c>
      <c r="AY524" s="765">
        <v>273</v>
      </c>
      <c r="AZ524" s="765">
        <v>12200</v>
      </c>
      <c r="BA524" s="765">
        <v>302</v>
      </c>
      <c r="BB524" s="765">
        <v>1800</v>
      </c>
      <c r="BC524" s="765">
        <v>79.8</v>
      </c>
      <c r="BD524" s="765">
        <v>2800</v>
      </c>
      <c r="BE524" s="767">
        <v>0.52883726480628257</v>
      </c>
      <c r="BF524" s="768">
        <v>621</v>
      </c>
      <c r="BG524" s="765">
        <v>27700</v>
      </c>
      <c r="BH524" s="765">
        <v>29100</v>
      </c>
      <c r="BI524" s="765">
        <v>52000</v>
      </c>
      <c r="BJ524" s="765">
        <v>209</v>
      </c>
      <c r="BK524" s="765">
        <v>2300</v>
      </c>
      <c r="BL524" s="771">
        <v>6080</v>
      </c>
    </row>
    <row r="525" spans="35:64" x14ac:dyDescent="0.3">
      <c r="AI525" s="763" t="s">
        <v>1005</v>
      </c>
      <c r="AJ525" s="764">
        <v>33300</v>
      </c>
      <c r="AK525" s="765">
        <v>641</v>
      </c>
      <c r="AL525" s="765">
        <v>19</v>
      </c>
      <c r="AM525" s="765">
        <v>327</v>
      </c>
      <c r="AN525" s="765">
        <v>34</v>
      </c>
      <c r="AO525" s="767" t="s">
        <v>1006</v>
      </c>
      <c r="AP525" s="767">
        <v>66</v>
      </c>
      <c r="AQ525" s="769">
        <v>33</v>
      </c>
      <c r="AR525" s="770">
        <v>24</v>
      </c>
      <c r="AS525" s="766">
        <v>192</v>
      </c>
      <c r="AT525" s="765">
        <v>285</v>
      </c>
      <c r="AU525" s="767">
        <v>4.43</v>
      </c>
      <c r="AV525" s="768">
        <v>27.8</v>
      </c>
      <c r="AW525" s="765">
        <v>2610</v>
      </c>
      <c r="AX525" s="765">
        <v>8060</v>
      </c>
      <c r="AY525" s="765">
        <v>271</v>
      </c>
      <c r="AZ525" s="765">
        <v>11100</v>
      </c>
      <c r="BA525" s="765">
        <v>271</v>
      </c>
      <c r="BB525" s="765">
        <v>1630</v>
      </c>
      <c r="BC525" s="765">
        <v>79</v>
      </c>
      <c r="BD525" s="765">
        <v>2520</v>
      </c>
      <c r="BE525" s="767">
        <v>0.52400340088231379</v>
      </c>
      <c r="BF525" s="768">
        <v>617.1</v>
      </c>
      <c r="BG525" s="765">
        <v>21300</v>
      </c>
      <c r="BH525" s="765">
        <v>25800</v>
      </c>
      <c r="BI525" s="765">
        <v>51400</v>
      </c>
      <c r="BJ525" s="765">
        <v>188</v>
      </c>
      <c r="BK525" s="765">
        <v>2090</v>
      </c>
      <c r="BL525" s="771">
        <v>5510</v>
      </c>
    </row>
    <row r="526" spans="35:64" x14ac:dyDescent="0.3">
      <c r="AI526" s="763" t="s">
        <v>1007</v>
      </c>
      <c r="AJ526" s="764">
        <v>30800</v>
      </c>
      <c r="AK526" s="765">
        <v>635</v>
      </c>
      <c r="AL526" s="765">
        <v>17.899999999999999</v>
      </c>
      <c r="AM526" s="765">
        <v>329</v>
      </c>
      <c r="AN526" s="765">
        <v>31</v>
      </c>
      <c r="AO526" s="767" t="s">
        <v>1008</v>
      </c>
      <c r="AP526" s="767">
        <v>62</v>
      </c>
      <c r="AQ526" s="769">
        <v>31</v>
      </c>
      <c r="AR526" s="770">
        <v>24</v>
      </c>
      <c r="AS526" s="766">
        <v>176</v>
      </c>
      <c r="AT526" s="765">
        <v>262</v>
      </c>
      <c r="AU526" s="767">
        <v>4.8099999999999996</v>
      </c>
      <c r="AV526" s="768">
        <v>30.2</v>
      </c>
      <c r="AW526" s="765">
        <v>2360</v>
      </c>
      <c r="AX526" s="765">
        <v>7360</v>
      </c>
      <c r="AY526" s="765">
        <v>269</v>
      </c>
      <c r="AZ526" s="765">
        <v>9930</v>
      </c>
      <c r="BA526" s="765">
        <v>240</v>
      </c>
      <c r="BB526" s="765">
        <v>1450</v>
      </c>
      <c r="BC526" s="765">
        <v>78.2</v>
      </c>
      <c r="BD526" s="765">
        <v>2240</v>
      </c>
      <c r="BE526" s="767">
        <v>0.51711668622466012</v>
      </c>
      <c r="BF526" s="768">
        <v>613.1</v>
      </c>
      <c r="BG526" s="765">
        <v>15900</v>
      </c>
      <c r="BH526" s="765">
        <v>22500</v>
      </c>
      <c r="BI526" s="765">
        <v>50600</v>
      </c>
      <c r="BJ526" s="765">
        <v>166</v>
      </c>
      <c r="BK526" s="765">
        <v>1880</v>
      </c>
      <c r="BL526" s="771">
        <v>4940</v>
      </c>
    </row>
    <row r="527" spans="35:64" x14ac:dyDescent="0.3">
      <c r="AI527" s="763" t="s">
        <v>1009</v>
      </c>
      <c r="AJ527" s="764">
        <v>27800</v>
      </c>
      <c r="AK527" s="765">
        <v>628</v>
      </c>
      <c r="AL527" s="765">
        <v>16.5</v>
      </c>
      <c r="AM527" s="765">
        <v>328</v>
      </c>
      <c r="AN527" s="765">
        <v>27.7</v>
      </c>
      <c r="AO527" s="767" t="s">
        <v>1010</v>
      </c>
      <c r="AP527" s="767">
        <v>59</v>
      </c>
      <c r="AQ527" s="769">
        <v>31</v>
      </c>
      <c r="AR527" s="770">
        <v>24</v>
      </c>
      <c r="AS527" s="766">
        <v>162</v>
      </c>
      <c r="AT527" s="765">
        <v>241</v>
      </c>
      <c r="AU527" s="767">
        <v>5.31</v>
      </c>
      <c r="AV527" s="768">
        <v>32</v>
      </c>
      <c r="AW527" s="765">
        <v>2150</v>
      </c>
      <c r="AX527" s="765">
        <v>6780</v>
      </c>
      <c r="AY527" s="765">
        <v>268</v>
      </c>
      <c r="AZ527" s="765">
        <v>9170</v>
      </c>
      <c r="BA527" s="765">
        <v>221</v>
      </c>
      <c r="BB527" s="765">
        <v>1340</v>
      </c>
      <c r="BC527" s="765">
        <v>77.900000000000006</v>
      </c>
      <c r="BD527" s="765">
        <v>2070</v>
      </c>
      <c r="BE527" s="767">
        <v>0.51388863465915458</v>
      </c>
      <c r="BF527" s="768">
        <v>609.9</v>
      </c>
      <c r="BG527" s="765">
        <v>12800</v>
      </c>
      <c r="BH527" s="765">
        <v>20500</v>
      </c>
      <c r="BI527" s="765">
        <v>50200</v>
      </c>
      <c r="BJ527" s="765">
        <v>153</v>
      </c>
      <c r="BK527" s="765">
        <v>1740</v>
      </c>
      <c r="BL527" s="771">
        <v>4570</v>
      </c>
    </row>
    <row r="528" spans="35:64" x14ac:dyDescent="0.3">
      <c r="AI528" s="763" t="s">
        <v>1011</v>
      </c>
      <c r="AJ528" s="764">
        <v>24900</v>
      </c>
      <c r="AK528" s="765">
        <v>622</v>
      </c>
      <c r="AL528" s="765">
        <v>15.4</v>
      </c>
      <c r="AM528" s="765">
        <v>327</v>
      </c>
      <c r="AN528" s="765">
        <v>24.4</v>
      </c>
      <c r="AO528" s="767" t="s">
        <v>1012</v>
      </c>
      <c r="AP528" s="767">
        <v>56</v>
      </c>
      <c r="AQ528" s="772">
        <v>30</v>
      </c>
      <c r="AR528" s="770">
        <v>24</v>
      </c>
      <c r="AS528" s="766">
        <v>146</v>
      </c>
      <c r="AT528" s="765">
        <v>217</v>
      </c>
      <c r="AU528" s="767">
        <v>5.92</v>
      </c>
      <c r="AV528" s="768">
        <v>34.700000000000003</v>
      </c>
      <c r="AW528" s="765">
        <v>1910</v>
      </c>
      <c r="AX528" s="765">
        <v>6070</v>
      </c>
      <c r="AY528" s="765">
        <v>266</v>
      </c>
      <c r="AZ528" s="765">
        <v>8350</v>
      </c>
      <c r="BA528" s="765">
        <v>198</v>
      </c>
      <c r="BB528" s="765">
        <v>1210</v>
      </c>
      <c r="BC528" s="765">
        <v>77.2</v>
      </c>
      <c r="BD528" s="765">
        <v>1870</v>
      </c>
      <c r="BE528" s="767">
        <v>0.50855761632055108</v>
      </c>
      <c r="BF528" s="768">
        <v>607</v>
      </c>
      <c r="BG528" s="765">
        <v>9900</v>
      </c>
      <c r="BH528" s="765">
        <v>18300</v>
      </c>
      <c r="BI528" s="765">
        <v>49600</v>
      </c>
      <c r="BJ528" s="765">
        <v>138</v>
      </c>
      <c r="BK528" s="765">
        <v>1590</v>
      </c>
      <c r="BL528" s="771">
        <v>4150</v>
      </c>
    </row>
    <row r="529" spans="35:64" x14ac:dyDescent="0.3">
      <c r="AI529" s="763" t="s">
        <v>1013</v>
      </c>
      <c r="AJ529" s="764">
        <v>22200</v>
      </c>
      <c r="AK529" s="765">
        <v>616</v>
      </c>
      <c r="AL529" s="765">
        <v>14</v>
      </c>
      <c r="AM529" s="773">
        <v>325</v>
      </c>
      <c r="AN529" s="765">
        <v>21.6</v>
      </c>
      <c r="AO529" s="767" t="s">
        <v>1014</v>
      </c>
      <c r="AP529" s="767">
        <v>53</v>
      </c>
      <c r="AQ529" s="769">
        <v>29</v>
      </c>
      <c r="AR529" s="770">
        <v>24</v>
      </c>
      <c r="AS529" s="766">
        <v>131</v>
      </c>
      <c r="AT529" s="765">
        <v>195</v>
      </c>
      <c r="AU529" s="767">
        <v>6.7</v>
      </c>
      <c r="AV529" s="768">
        <v>37.200000000000003</v>
      </c>
      <c r="AW529" s="765">
        <v>1680</v>
      </c>
      <c r="AX529" s="765">
        <v>5400</v>
      </c>
      <c r="AY529" s="765">
        <v>264</v>
      </c>
      <c r="AZ529" s="765">
        <v>7670</v>
      </c>
      <c r="BA529" s="765">
        <v>184</v>
      </c>
      <c r="BB529" s="765">
        <v>1120</v>
      </c>
      <c r="BC529" s="765">
        <v>77.400000000000006</v>
      </c>
      <c r="BD529" s="765">
        <v>1730</v>
      </c>
      <c r="BE529" s="767">
        <v>0.50923345685371535</v>
      </c>
      <c r="BF529" s="768">
        <v>604</v>
      </c>
      <c r="BG529" s="765">
        <v>7700</v>
      </c>
      <c r="BH529" s="765">
        <v>16800</v>
      </c>
      <c r="BI529" s="765">
        <v>49700</v>
      </c>
      <c r="BJ529" s="765">
        <v>127</v>
      </c>
      <c r="BK529" s="765">
        <v>1460</v>
      </c>
      <c r="BL529" s="771">
        <v>3810</v>
      </c>
    </row>
    <row r="530" spans="35:64" x14ac:dyDescent="0.3">
      <c r="AI530" s="763" t="s">
        <v>1015</v>
      </c>
      <c r="AJ530" s="764">
        <v>19700</v>
      </c>
      <c r="AK530" s="765">
        <v>611</v>
      </c>
      <c r="AL530" s="765">
        <v>12.7</v>
      </c>
      <c r="AM530" s="765">
        <v>324</v>
      </c>
      <c r="AN530" s="765">
        <v>19</v>
      </c>
      <c r="AO530" s="767" t="s">
        <v>1016</v>
      </c>
      <c r="AP530" s="767">
        <v>50</v>
      </c>
      <c r="AQ530" s="769">
        <v>29</v>
      </c>
      <c r="AR530" s="770">
        <v>24</v>
      </c>
      <c r="AS530" s="766">
        <v>117</v>
      </c>
      <c r="AT530" s="765">
        <v>174</v>
      </c>
      <c r="AU530" s="767">
        <v>7.52</v>
      </c>
      <c r="AV530" s="768">
        <v>40.9</v>
      </c>
      <c r="AW530" s="765">
        <v>1470</v>
      </c>
      <c r="AX530" s="765">
        <v>4780</v>
      </c>
      <c r="AY530" s="765">
        <v>262</v>
      </c>
      <c r="AZ530" s="765">
        <v>6850</v>
      </c>
      <c r="BA530" s="765">
        <v>163</v>
      </c>
      <c r="BB530" s="765">
        <v>995</v>
      </c>
      <c r="BC530" s="765">
        <v>76.7</v>
      </c>
      <c r="BD530" s="765">
        <v>1530</v>
      </c>
      <c r="BE530" s="767">
        <v>0.50498896641260482</v>
      </c>
      <c r="BF530" s="768">
        <v>600.29999999999995</v>
      </c>
      <c r="BG530" s="765">
        <v>5600</v>
      </c>
      <c r="BH530" s="765">
        <v>14700</v>
      </c>
      <c r="BI530" s="765">
        <v>49200</v>
      </c>
      <c r="BJ530" s="765">
        <v>112</v>
      </c>
      <c r="BK530" s="765">
        <v>1290</v>
      </c>
      <c r="BL530" s="771">
        <v>3400</v>
      </c>
    </row>
    <row r="531" spans="35:64" x14ac:dyDescent="0.3">
      <c r="AI531" s="763" t="s">
        <v>1017</v>
      </c>
      <c r="AJ531" s="764">
        <v>19600</v>
      </c>
      <c r="AK531" s="765">
        <v>623</v>
      </c>
      <c r="AL531" s="765">
        <v>14</v>
      </c>
      <c r="AM531" s="765">
        <v>229</v>
      </c>
      <c r="AN531" s="765">
        <v>24.9</v>
      </c>
      <c r="AO531" s="767" t="s">
        <v>1018</v>
      </c>
      <c r="AP531" s="767">
        <v>46</v>
      </c>
      <c r="AQ531" s="769">
        <v>28</v>
      </c>
      <c r="AR531" s="770">
        <v>24</v>
      </c>
      <c r="AS531" s="766">
        <v>104</v>
      </c>
      <c r="AT531" s="765">
        <v>155</v>
      </c>
      <c r="AU531" s="767">
        <v>8.5299999999999994</v>
      </c>
      <c r="AV531" s="768">
        <v>45.1</v>
      </c>
      <c r="AW531" s="765">
        <v>1290</v>
      </c>
      <c r="AX531" s="765">
        <v>4220</v>
      </c>
      <c r="AY531" s="765">
        <v>260</v>
      </c>
      <c r="AZ531" s="765">
        <v>6070</v>
      </c>
      <c r="BA531" s="765">
        <v>142</v>
      </c>
      <c r="BB531" s="765">
        <v>871</v>
      </c>
      <c r="BC531" s="765">
        <v>75.599999999999994</v>
      </c>
      <c r="BD531" s="765">
        <v>1340</v>
      </c>
      <c r="BE531" s="767">
        <v>0.49868480617192479</v>
      </c>
      <c r="BF531" s="768">
        <v>597.6</v>
      </c>
      <c r="BG531" s="765">
        <v>3970</v>
      </c>
      <c r="BH531" s="765">
        <v>12700</v>
      </c>
      <c r="BI531" s="765">
        <v>48900</v>
      </c>
      <c r="BJ531" s="765">
        <v>97.4</v>
      </c>
      <c r="BK531" s="765">
        <v>1140</v>
      </c>
      <c r="BL531" s="771">
        <v>3020</v>
      </c>
    </row>
    <row r="532" spans="35:64" x14ac:dyDescent="0.3">
      <c r="AI532" s="763" t="s">
        <v>1019</v>
      </c>
      <c r="AJ532" s="764">
        <v>17900</v>
      </c>
      <c r="AK532" s="765">
        <v>617</v>
      </c>
      <c r="AL532" s="765">
        <v>13.1</v>
      </c>
      <c r="AM532" s="765">
        <v>230</v>
      </c>
      <c r="AN532" s="765">
        <v>22.2</v>
      </c>
      <c r="AO532" s="767" t="s">
        <v>1020</v>
      </c>
      <c r="AP532" s="767">
        <v>43</v>
      </c>
      <c r="AQ532" s="765">
        <v>27</v>
      </c>
      <c r="AR532" s="770">
        <v>24</v>
      </c>
      <c r="AS532" s="766">
        <v>103</v>
      </c>
      <c r="AT532" s="765">
        <v>153</v>
      </c>
      <c r="AU532" s="767">
        <v>4.5999999999999996</v>
      </c>
      <c r="AV532" s="768">
        <v>40.9</v>
      </c>
      <c r="AW532" s="765">
        <v>1250</v>
      </c>
      <c r="AX532" s="765">
        <v>4020</v>
      </c>
      <c r="AY532" s="765">
        <v>257</v>
      </c>
      <c r="AZ532" s="765">
        <v>5360</v>
      </c>
      <c r="BA532" s="765">
        <v>124</v>
      </c>
      <c r="BB532" s="765">
        <v>761</v>
      </c>
      <c r="BC532" s="765">
        <v>74.7</v>
      </c>
      <c r="BD532" s="765">
        <v>1170</v>
      </c>
      <c r="BE532" s="767">
        <v>0.49317164349443909</v>
      </c>
      <c r="BF532" s="768">
        <v>594.4</v>
      </c>
      <c r="BG532" s="765">
        <v>2800</v>
      </c>
      <c r="BH532" s="765">
        <v>10900</v>
      </c>
      <c r="BI532" s="765">
        <v>48300</v>
      </c>
      <c r="BJ532" s="765">
        <v>84.8</v>
      </c>
      <c r="BK532" s="765">
        <v>998</v>
      </c>
      <c r="BL532" s="771">
        <v>2660</v>
      </c>
    </row>
    <row r="533" spans="35:64" x14ac:dyDescent="0.3">
      <c r="AI533" s="763" t="s">
        <v>1021</v>
      </c>
      <c r="AJ533" s="764">
        <v>15900</v>
      </c>
      <c r="AK533" s="765">
        <v>612</v>
      </c>
      <c r="AL533" s="765">
        <v>11.9</v>
      </c>
      <c r="AM533" s="765">
        <v>229</v>
      </c>
      <c r="AN533" s="765">
        <v>19.600000000000001</v>
      </c>
      <c r="AO533" s="767" t="s">
        <v>1022</v>
      </c>
      <c r="AP533" s="767">
        <v>41</v>
      </c>
      <c r="AQ533" s="765">
        <v>27</v>
      </c>
      <c r="AR533" s="770">
        <v>24</v>
      </c>
      <c r="AS533" s="766">
        <v>94</v>
      </c>
      <c r="AT533" s="768">
        <v>140</v>
      </c>
      <c r="AU533" s="767">
        <v>5.18</v>
      </c>
      <c r="AV533" s="768">
        <v>43.7</v>
      </c>
      <c r="AW533" s="765">
        <v>1120</v>
      </c>
      <c r="AX533" s="765">
        <v>3630</v>
      </c>
      <c r="AY533" s="765">
        <v>256</v>
      </c>
      <c r="AZ533" s="765">
        <v>4730</v>
      </c>
      <c r="BA533" s="765">
        <v>108</v>
      </c>
      <c r="BB533" s="765">
        <v>666</v>
      </c>
      <c r="BC533" s="765">
        <v>73.900000000000006</v>
      </c>
      <c r="BD533" s="765">
        <v>1020</v>
      </c>
      <c r="BE533" s="767">
        <v>0.48928022733393189</v>
      </c>
      <c r="BF533" s="768">
        <v>592</v>
      </c>
      <c r="BG533" s="765">
        <v>1950</v>
      </c>
      <c r="BH533" s="765">
        <v>9450</v>
      </c>
      <c r="BI533" s="765">
        <v>48000</v>
      </c>
      <c r="BJ533" s="765">
        <v>73.8</v>
      </c>
      <c r="BK533" s="765">
        <v>875</v>
      </c>
      <c r="BL533" s="771">
        <v>2340</v>
      </c>
    </row>
    <row r="534" spans="35:64" x14ac:dyDescent="0.3">
      <c r="AI534" s="763" t="s">
        <v>1023</v>
      </c>
      <c r="AJ534" s="764">
        <v>14400</v>
      </c>
      <c r="AK534" s="765">
        <v>608</v>
      </c>
      <c r="AL534" s="765">
        <v>11.2</v>
      </c>
      <c r="AM534" s="765">
        <v>228</v>
      </c>
      <c r="AN534" s="765">
        <v>17.3</v>
      </c>
      <c r="AO534" s="767" t="s">
        <v>1024</v>
      </c>
      <c r="AP534" s="767">
        <v>47</v>
      </c>
      <c r="AQ534" s="765">
        <v>27</v>
      </c>
      <c r="AR534" s="770">
        <v>24</v>
      </c>
      <c r="AS534" s="766">
        <v>84</v>
      </c>
      <c r="AT534" s="768">
        <v>125</v>
      </c>
      <c r="AU534" s="767">
        <v>5.84</v>
      </c>
      <c r="AV534" s="768">
        <v>48.1</v>
      </c>
      <c r="AW534" s="765">
        <v>985</v>
      </c>
      <c r="AX534" s="765">
        <v>3220</v>
      </c>
      <c r="AY534" s="765">
        <v>253</v>
      </c>
      <c r="AZ534" s="765">
        <v>4600</v>
      </c>
      <c r="BA534" s="765">
        <v>50</v>
      </c>
      <c r="BB534" s="765">
        <v>437</v>
      </c>
      <c r="BC534" s="765">
        <v>50.5</v>
      </c>
      <c r="BD534" s="765">
        <v>682</v>
      </c>
      <c r="BE534" s="767">
        <v>0.34293069159748663</v>
      </c>
      <c r="BF534" s="768">
        <v>598.1</v>
      </c>
      <c r="BG534" s="765">
        <v>2950</v>
      </c>
      <c r="BH534" s="765">
        <v>4470</v>
      </c>
      <c r="BI534" s="765">
        <v>34200</v>
      </c>
      <c r="BJ534" s="765">
        <v>48.8</v>
      </c>
      <c r="BK534" s="765">
        <v>800</v>
      </c>
      <c r="BL534" s="771">
        <v>2280</v>
      </c>
    </row>
    <row r="535" spans="35:64" x14ac:dyDescent="0.3">
      <c r="AI535" s="763" t="s">
        <v>1025</v>
      </c>
      <c r="AJ535" s="764">
        <v>13000</v>
      </c>
      <c r="AK535" s="765">
        <v>603</v>
      </c>
      <c r="AL535" s="765">
        <v>10.5</v>
      </c>
      <c r="AM535" s="765">
        <v>228</v>
      </c>
      <c r="AN535" s="765">
        <v>14.9</v>
      </c>
      <c r="AO535" s="767" t="s">
        <v>1026</v>
      </c>
      <c r="AP535" s="767">
        <v>44</v>
      </c>
      <c r="AQ535" s="769">
        <v>27</v>
      </c>
      <c r="AR535" s="770">
        <v>24</v>
      </c>
      <c r="AS535" s="766">
        <v>76</v>
      </c>
      <c r="AT535" s="768">
        <v>113</v>
      </c>
      <c r="AU535" s="767">
        <v>6.59</v>
      </c>
      <c r="AV535" s="768">
        <v>51.2</v>
      </c>
      <c r="AW535" s="765">
        <v>875</v>
      </c>
      <c r="AX535" s="765">
        <v>2880</v>
      </c>
      <c r="AY535" s="765">
        <v>250</v>
      </c>
      <c r="AZ535" s="765">
        <v>4150</v>
      </c>
      <c r="BA535" s="765">
        <v>45.1</v>
      </c>
      <c r="BB535" s="765">
        <v>392</v>
      </c>
      <c r="BC535" s="765">
        <v>50.3</v>
      </c>
      <c r="BD535" s="765">
        <v>613</v>
      </c>
      <c r="BE535" s="767">
        <v>0.34184878988425749</v>
      </c>
      <c r="BF535" s="768">
        <v>594.79999999999995</v>
      </c>
      <c r="BG535" s="765">
        <v>2180</v>
      </c>
      <c r="BH535" s="765">
        <v>3990</v>
      </c>
      <c r="BI535" s="765">
        <v>34200</v>
      </c>
      <c r="BJ535" s="765">
        <v>43.7</v>
      </c>
      <c r="BK535" s="765">
        <v>716</v>
      </c>
      <c r="BL535" s="771">
        <v>2060</v>
      </c>
    </row>
    <row r="536" spans="35:64" x14ac:dyDescent="0.3">
      <c r="AI536" s="763" t="s">
        <v>1027</v>
      </c>
      <c r="AJ536" s="764">
        <v>11500</v>
      </c>
      <c r="AK536" s="765">
        <v>598</v>
      </c>
      <c r="AL536" s="765">
        <v>9.6999999999999993</v>
      </c>
      <c r="AM536" s="765">
        <v>227</v>
      </c>
      <c r="AN536" s="765">
        <v>12.7</v>
      </c>
      <c r="AO536" s="767" t="s">
        <v>1028</v>
      </c>
      <c r="AP536" s="767">
        <v>41</v>
      </c>
      <c r="AQ536" s="769">
        <v>26</v>
      </c>
      <c r="AR536" s="770">
        <v>24</v>
      </c>
      <c r="AS536" s="766">
        <v>68</v>
      </c>
      <c r="AT536" s="768">
        <v>101</v>
      </c>
      <c r="AU536" s="767">
        <v>7.65</v>
      </c>
      <c r="AV536" s="768">
        <v>54.6</v>
      </c>
      <c r="AW536" s="765">
        <v>764</v>
      </c>
      <c r="AX536" s="765">
        <v>2530</v>
      </c>
      <c r="AY536" s="765">
        <v>249</v>
      </c>
      <c r="AZ536" s="765">
        <v>3670</v>
      </c>
      <c r="BA536" s="765">
        <v>39.299999999999997</v>
      </c>
      <c r="BB536" s="765">
        <v>343</v>
      </c>
      <c r="BC536" s="765">
        <v>49.7</v>
      </c>
      <c r="BD536" s="765">
        <v>535</v>
      </c>
      <c r="BE536" s="767">
        <v>0.33816213402612372</v>
      </c>
      <c r="BF536" s="768">
        <v>592.4</v>
      </c>
      <c r="BG536" s="765">
        <v>1540</v>
      </c>
      <c r="BH536" s="765">
        <v>3450</v>
      </c>
      <c r="BI536" s="765">
        <v>33900</v>
      </c>
      <c r="BJ536" s="765">
        <v>38.1</v>
      </c>
      <c r="BK536" s="765">
        <v>630</v>
      </c>
      <c r="BL536" s="771">
        <v>1820</v>
      </c>
    </row>
    <row r="537" spans="35:64" x14ac:dyDescent="0.3">
      <c r="AI537" s="763" t="s">
        <v>1029</v>
      </c>
      <c r="AJ537" s="764">
        <v>10600</v>
      </c>
      <c r="AK537" s="765">
        <v>596</v>
      </c>
      <c r="AL537" s="765">
        <v>9</v>
      </c>
      <c r="AM537" s="765">
        <v>226</v>
      </c>
      <c r="AN537" s="765">
        <v>11.7</v>
      </c>
      <c r="AO537" s="767" t="s">
        <v>1030</v>
      </c>
      <c r="AP537" s="767">
        <v>39</v>
      </c>
      <c r="AQ537" s="769">
        <v>26</v>
      </c>
      <c r="AR537" s="770">
        <v>24</v>
      </c>
      <c r="AS537" s="766">
        <v>61</v>
      </c>
      <c r="AT537" s="768">
        <v>91</v>
      </c>
      <c r="AU537" s="767">
        <v>8.94</v>
      </c>
      <c r="AV537" s="768">
        <v>59</v>
      </c>
      <c r="AW537" s="765">
        <v>657</v>
      </c>
      <c r="AX537" s="765">
        <v>2200</v>
      </c>
      <c r="AY537" s="765">
        <v>246</v>
      </c>
      <c r="AZ537" s="765">
        <v>3290</v>
      </c>
      <c r="BA537" s="765">
        <v>34.299999999999997</v>
      </c>
      <c r="BB537" s="765">
        <v>300</v>
      </c>
      <c r="BC537" s="765">
        <v>48.7</v>
      </c>
      <c r="BD537" s="765">
        <v>469</v>
      </c>
      <c r="BE537" s="767">
        <v>0.33346102686630308</v>
      </c>
      <c r="BF537" s="768">
        <v>590.70000000000005</v>
      </c>
      <c r="BG537" s="765">
        <v>1120</v>
      </c>
      <c r="BH537" s="765">
        <v>2990</v>
      </c>
      <c r="BI537" s="765">
        <v>33700</v>
      </c>
      <c r="BJ537" s="765">
        <v>33.200000000000003</v>
      </c>
      <c r="BK537" s="765">
        <v>554</v>
      </c>
      <c r="BL537" s="771">
        <v>1630</v>
      </c>
    </row>
    <row r="538" spans="35:64" x14ac:dyDescent="0.3">
      <c r="AI538" s="763" t="s">
        <v>1031</v>
      </c>
      <c r="AJ538" s="764">
        <v>11800</v>
      </c>
      <c r="AK538" s="765">
        <v>603</v>
      </c>
      <c r="AL538" s="765">
        <v>10.9</v>
      </c>
      <c r="AM538" s="765">
        <v>179</v>
      </c>
      <c r="AN538" s="765">
        <v>15</v>
      </c>
      <c r="AO538" s="767" t="s">
        <v>1032</v>
      </c>
      <c r="AP538" s="767">
        <v>37</v>
      </c>
      <c r="AQ538" s="769">
        <v>26</v>
      </c>
      <c r="AR538" s="770">
        <v>24</v>
      </c>
      <c r="AS538" s="766">
        <v>56</v>
      </c>
      <c r="AT538" s="768">
        <v>84</v>
      </c>
      <c r="AU538" s="767">
        <v>9.66</v>
      </c>
      <c r="AV538" s="768">
        <v>63.6</v>
      </c>
      <c r="AW538" s="765">
        <v>603</v>
      </c>
      <c r="AX538" s="765">
        <v>2020</v>
      </c>
      <c r="AY538" s="765">
        <v>243</v>
      </c>
      <c r="AZ538" s="765">
        <v>2900</v>
      </c>
      <c r="BA538" s="765">
        <v>29.5</v>
      </c>
      <c r="BB538" s="765">
        <v>259</v>
      </c>
      <c r="BC538" s="765">
        <v>47.7</v>
      </c>
      <c r="BD538" s="765">
        <v>404</v>
      </c>
      <c r="BE538" s="767">
        <v>0.329253415285992</v>
      </c>
      <c r="BF538" s="768">
        <v>588.1</v>
      </c>
      <c r="BG538" s="765">
        <v>781</v>
      </c>
      <c r="BH538" s="765">
        <v>2550</v>
      </c>
      <c r="BI538" s="765">
        <v>33500</v>
      </c>
      <c r="BJ538" s="765">
        <v>28.5</v>
      </c>
      <c r="BK538" s="765">
        <v>476</v>
      </c>
      <c r="BL538" s="771">
        <v>1430</v>
      </c>
    </row>
    <row r="539" spans="35:64" x14ac:dyDescent="0.3">
      <c r="AI539" s="763" t="s">
        <v>1033</v>
      </c>
      <c r="AJ539" s="764">
        <v>10500</v>
      </c>
      <c r="AK539" s="765">
        <v>599</v>
      </c>
      <c r="AL539" s="765">
        <v>10</v>
      </c>
      <c r="AM539" s="765">
        <v>178</v>
      </c>
      <c r="AN539" s="765">
        <v>12.8</v>
      </c>
      <c r="AO539" s="767" t="s">
        <v>1034</v>
      </c>
      <c r="AP539" s="767">
        <v>35</v>
      </c>
      <c r="AQ539" s="769">
        <v>25</v>
      </c>
      <c r="AR539" s="770">
        <v>24</v>
      </c>
      <c r="AS539" s="766">
        <v>62</v>
      </c>
      <c r="AT539" s="765">
        <v>92</v>
      </c>
      <c r="AU539" s="767">
        <v>5.97</v>
      </c>
      <c r="AV539" s="768">
        <v>52.6</v>
      </c>
      <c r="AW539" s="765">
        <v>651</v>
      </c>
      <c r="AX539" s="765">
        <v>2160</v>
      </c>
      <c r="AY539" s="765">
        <v>239</v>
      </c>
      <c r="AZ539" s="765">
        <v>2520</v>
      </c>
      <c r="BA539" s="765">
        <v>24.8</v>
      </c>
      <c r="BB539" s="765">
        <v>219</v>
      </c>
      <c r="BC539" s="765">
        <v>46.5</v>
      </c>
      <c r="BD539" s="765">
        <v>342</v>
      </c>
      <c r="BE539" s="767">
        <v>0.3228386666935727</v>
      </c>
      <c r="BF539" s="768">
        <v>585.29999999999995</v>
      </c>
      <c r="BG539" s="765">
        <v>531</v>
      </c>
      <c r="BH539" s="765">
        <v>2120</v>
      </c>
      <c r="BI539" s="765">
        <v>33200</v>
      </c>
      <c r="BJ539" s="765">
        <v>23.9</v>
      </c>
      <c r="BK539" s="765">
        <v>404</v>
      </c>
      <c r="BL539" s="771">
        <v>1240</v>
      </c>
    </row>
    <row r="540" spans="35:64" x14ac:dyDescent="0.3">
      <c r="AI540" s="763" t="s">
        <v>1035</v>
      </c>
      <c r="AJ540" s="764">
        <v>38200</v>
      </c>
      <c r="AK540" s="765">
        <v>585</v>
      </c>
      <c r="AL540" s="765">
        <v>23.1</v>
      </c>
      <c r="AM540" s="765">
        <v>319</v>
      </c>
      <c r="AN540" s="765">
        <v>41.4</v>
      </c>
      <c r="AO540" s="767" t="s">
        <v>1036</v>
      </c>
      <c r="AP540" s="767">
        <v>34</v>
      </c>
      <c r="AQ540" s="769">
        <v>25</v>
      </c>
      <c r="AR540" s="770">
        <v>24</v>
      </c>
      <c r="AS540" s="766">
        <v>55</v>
      </c>
      <c r="AT540" s="765">
        <v>82</v>
      </c>
      <c r="AU540" s="767">
        <v>6.95</v>
      </c>
      <c r="AV540" s="768">
        <v>57.3</v>
      </c>
      <c r="AW540" s="765">
        <v>565</v>
      </c>
      <c r="AX540" s="765">
        <v>1880</v>
      </c>
      <c r="AY540" s="765">
        <v>239</v>
      </c>
      <c r="AZ540" s="765">
        <v>2320</v>
      </c>
      <c r="BA540" s="765">
        <v>22.6</v>
      </c>
      <c r="BB540" s="765">
        <v>200</v>
      </c>
      <c r="BC540" s="765">
        <v>46.2</v>
      </c>
      <c r="BD540" s="765">
        <v>311</v>
      </c>
      <c r="BE540" s="767">
        <v>0.32112693355708199</v>
      </c>
      <c r="BF540" s="768">
        <v>584.29999999999995</v>
      </c>
      <c r="BG540" s="765">
        <v>420</v>
      </c>
      <c r="BH540" s="765">
        <v>1920</v>
      </c>
      <c r="BI540" s="765">
        <v>33000</v>
      </c>
      <c r="BJ540" s="765">
        <v>21.8</v>
      </c>
      <c r="BK540" s="765">
        <v>371</v>
      </c>
      <c r="BL540" s="771">
        <v>1140</v>
      </c>
    </row>
    <row r="541" spans="35:64" x14ac:dyDescent="0.3">
      <c r="AI541" s="763" t="s">
        <v>1037</v>
      </c>
      <c r="AJ541" s="764">
        <v>34600</v>
      </c>
      <c r="AK541" s="765">
        <v>577</v>
      </c>
      <c r="AL541" s="765">
        <v>21.1</v>
      </c>
      <c r="AM541" s="765">
        <v>318</v>
      </c>
      <c r="AN541" s="765">
        <v>37.6</v>
      </c>
      <c r="AO541" s="767" t="s">
        <v>1038</v>
      </c>
      <c r="AP541" s="767">
        <v>37</v>
      </c>
      <c r="AQ541" s="769">
        <v>25</v>
      </c>
      <c r="AR541" s="769">
        <v>24</v>
      </c>
      <c r="AS541" s="766">
        <v>201</v>
      </c>
      <c r="AT541" s="765">
        <v>300</v>
      </c>
      <c r="AU541" s="767">
        <v>3.85</v>
      </c>
      <c r="AV541" s="768">
        <v>21.7</v>
      </c>
      <c r="AW541" s="765">
        <v>2210</v>
      </c>
      <c r="AX541" s="765">
        <v>7550</v>
      </c>
      <c r="AY541" s="765">
        <v>235</v>
      </c>
      <c r="AZ541" s="765">
        <v>2530</v>
      </c>
      <c r="BA541" s="765">
        <v>14.4</v>
      </c>
      <c r="BB541" s="765">
        <v>161</v>
      </c>
      <c r="BC541" s="765">
        <v>34.9</v>
      </c>
      <c r="BD541" s="765">
        <v>259</v>
      </c>
      <c r="BE541" s="767">
        <v>0.24922479687020341</v>
      </c>
      <c r="BF541" s="768">
        <v>588</v>
      </c>
      <c r="BG541" s="765">
        <v>738</v>
      </c>
      <c r="BH541" s="765">
        <v>1250</v>
      </c>
      <c r="BI541" s="765">
        <v>26300</v>
      </c>
      <c r="BJ541" s="765">
        <v>17.7</v>
      </c>
      <c r="BK541" s="765">
        <v>371</v>
      </c>
      <c r="BL541" s="771">
        <v>1240</v>
      </c>
    </row>
    <row r="542" spans="35:64" x14ac:dyDescent="0.3">
      <c r="AI542" s="763" t="s">
        <v>1039</v>
      </c>
      <c r="AJ542" s="764">
        <v>31400</v>
      </c>
      <c r="AK542" s="765">
        <v>571</v>
      </c>
      <c r="AL542" s="765">
        <v>19</v>
      </c>
      <c r="AM542" s="765">
        <v>315</v>
      </c>
      <c r="AN542" s="765">
        <v>34.5</v>
      </c>
      <c r="AO542" s="767" t="s">
        <v>1040</v>
      </c>
      <c r="AP542" s="767">
        <v>34</v>
      </c>
      <c r="AQ542" s="769">
        <v>25</v>
      </c>
      <c r="AR542" s="769">
        <v>24</v>
      </c>
      <c r="AS542" s="766">
        <v>182</v>
      </c>
      <c r="AT542" s="765">
        <v>272</v>
      </c>
      <c r="AU542" s="767">
        <v>4.2300000000000004</v>
      </c>
      <c r="AV542" s="768">
        <v>23.8</v>
      </c>
      <c r="AW542" s="765">
        <v>1970</v>
      </c>
      <c r="AX542" s="765">
        <v>6840</v>
      </c>
      <c r="AY542" s="765">
        <v>232</v>
      </c>
      <c r="AZ542" s="765">
        <v>2210</v>
      </c>
      <c r="BA542" s="765">
        <v>12.1</v>
      </c>
      <c r="BB542" s="765">
        <v>136</v>
      </c>
      <c r="BC542" s="765">
        <v>34</v>
      </c>
      <c r="BD542" s="765">
        <v>219</v>
      </c>
      <c r="BE542" s="767">
        <v>0.24427316120835721</v>
      </c>
      <c r="BF542" s="768">
        <v>586.20000000000005</v>
      </c>
      <c r="BG542" s="765">
        <v>510</v>
      </c>
      <c r="BH542" s="765">
        <v>1040</v>
      </c>
      <c r="BI542" s="765">
        <v>26100</v>
      </c>
      <c r="BJ542" s="765">
        <v>14.9</v>
      </c>
      <c r="BK542" s="765">
        <v>315</v>
      </c>
      <c r="BL542" s="771">
        <v>1080</v>
      </c>
    </row>
    <row r="543" spans="35:64" x14ac:dyDescent="0.3">
      <c r="AI543" s="763" t="s">
        <v>1041</v>
      </c>
      <c r="AJ543" s="764">
        <v>27900</v>
      </c>
      <c r="AK543" s="765">
        <v>560</v>
      </c>
      <c r="AL543" s="765">
        <v>18.3</v>
      </c>
      <c r="AM543" s="765">
        <v>318</v>
      </c>
      <c r="AN543" s="765">
        <v>29.2</v>
      </c>
      <c r="AO543" s="767" t="s">
        <v>1042</v>
      </c>
      <c r="AP543" s="767">
        <v>63</v>
      </c>
      <c r="AQ543" s="769">
        <v>32</v>
      </c>
      <c r="AR543" s="769">
        <v>21</v>
      </c>
      <c r="AS543" s="766">
        <v>166</v>
      </c>
      <c r="AT543" s="765">
        <v>248</v>
      </c>
      <c r="AU543" s="767">
        <v>4.57</v>
      </c>
      <c r="AV543" s="768">
        <v>26.4</v>
      </c>
      <c r="AW543" s="765">
        <v>1770</v>
      </c>
      <c r="AX543" s="765">
        <v>6220</v>
      </c>
      <c r="AY543" s="765">
        <v>241</v>
      </c>
      <c r="AZ543" s="765">
        <v>8670</v>
      </c>
      <c r="BA543" s="765">
        <v>225</v>
      </c>
      <c r="BB543" s="765">
        <v>1410</v>
      </c>
      <c r="BC543" s="765">
        <v>76.7</v>
      </c>
      <c r="BD543" s="765">
        <v>2180</v>
      </c>
      <c r="BE543" s="767">
        <v>0.50594018558708098</v>
      </c>
      <c r="BF543" s="768">
        <v>543.6</v>
      </c>
      <c r="BG543" s="765">
        <v>17000</v>
      </c>
      <c r="BH543" s="765">
        <v>16600</v>
      </c>
      <c r="BI543" s="765">
        <v>43400</v>
      </c>
      <c r="BJ543" s="765">
        <v>143</v>
      </c>
      <c r="BK543" s="765">
        <v>1660</v>
      </c>
      <c r="BL543" s="771">
        <v>4320</v>
      </c>
    </row>
    <row r="544" spans="35:64" x14ac:dyDescent="0.3">
      <c r="AI544" s="763" t="s">
        <v>1043</v>
      </c>
      <c r="AJ544" s="764">
        <v>25000</v>
      </c>
      <c r="AK544" s="765">
        <v>554</v>
      </c>
      <c r="AL544" s="765">
        <v>16.5</v>
      </c>
      <c r="AM544" s="765">
        <v>316</v>
      </c>
      <c r="AN544" s="765">
        <v>26.3</v>
      </c>
      <c r="AO544" s="767" t="s">
        <v>1044</v>
      </c>
      <c r="AP544" s="767">
        <v>59</v>
      </c>
      <c r="AQ544" s="769">
        <v>31</v>
      </c>
      <c r="AR544" s="769">
        <v>21</v>
      </c>
      <c r="AS544" s="766">
        <v>147</v>
      </c>
      <c r="AT544" s="765">
        <v>219</v>
      </c>
      <c r="AU544" s="767">
        <v>5.45</v>
      </c>
      <c r="AV544" s="768">
        <v>27.4</v>
      </c>
      <c r="AW544" s="765">
        <v>1510</v>
      </c>
      <c r="AX544" s="765">
        <v>5390</v>
      </c>
      <c r="AY544" s="765">
        <v>239</v>
      </c>
      <c r="AZ544" s="765">
        <v>7810</v>
      </c>
      <c r="BA544" s="765">
        <v>202</v>
      </c>
      <c r="BB544" s="765">
        <v>1270</v>
      </c>
      <c r="BC544" s="765">
        <v>76.400000000000006</v>
      </c>
      <c r="BD544" s="765">
        <v>1960</v>
      </c>
      <c r="BE544" s="767">
        <v>0.50192534385699195</v>
      </c>
      <c r="BF544" s="768">
        <v>539.4</v>
      </c>
      <c r="BG544" s="765">
        <v>12800</v>
      </c>
      <c r="BH544" s="765">
        <v>14700</v>
      </c>
      <c r="BI544" s="765">
        <v>42900</v>
      </c>
      <c r="BJ544" s="765">
        <v>128</v>
      </c>
      <c r="BK544" s="765">
        <v>1510</v>
      </c>
      <c r="BL544" s="771">
        <v>3890</v>
      </c>
    </row>
    <row r="545" spans="35:64" x14ac:dyDescent="0.3">
      <c r="AI545" s="763" t="s">
        <v>1045</v>
      </c>
      <c r="AJ545" s="764">
        <v>23100</v>
      </c>
      <c r="AK545" s="765">
        <v>551</v>
      </c>
      <c r="AL545" s="765">
        <v>15.2</v>
      </c>
      <c r="AM545" s="765">
        <v>315</v>
      </c>
      <c r="AN545" s="765">
        <v>24.4</v>
      </c>
      <c r="AO545" s="767" t="s">
        <v>1046</v>
      </c>
      <c r="AP545" s="767">
        <v>56</v>
      </c>
      <c r="AQ545" s="769">
        <v>30</v>
      </c>
      <c r="AR545" s="769">
        <v>21</v>
      </c>
      <c r="AS545" s="766">
        <v>132</v>
      </c>
      <c r="AT545" s="765">
        <v>196</v>
      </c>
      <c r="AU545" s="767">
        <v>6.01</v>
      </c>
      <c r="AV545" s="768">
        <v>30.4</v>
      </c>
      <c r="AW545" s="765">
        <v>1340</v>
      </c>
      <c r="AX545" s="765">
        <v>4840</v>
      </c>
      <c r="AY545" s="765">
        <v>238</v>
      </c>
      <c r="AZ545" s="765">
        <v>7060</v>
      </c>
      <c r="BA545" s="765">
        <v>180</v>
      </c>
      <c r="BB545" s="765">
        <v>1140</v>
      </c>
      <c r="BC545" s="765">
        <v>75.7</v>
      </c>
      <c r="BD545" s="765">
        <v>1760</v>
      </c>
      <c r="BE545" s="767">
        <v>0.49591674407536829</v>
      </c>
      <c r="BF545" s="768">
        <v>536.5</v>
      </c>
      <c r="BG545" s="765">
        <v>9770</v>
      </c>
      <c r="BH545" s="765">
        <v>13000</v>
      </c>
      <c r="BI545" s="765">
        <v>42200</v>
      </c>
      <c r="BJ545" s="765">
        <v>115</v>
      </c>
      <c r="BK545" s="765">
        <v>1370</v>
      </c>
      <c r="BL545" s="771">
        <v>3510</v>
      </c>
    </row>
    <row r="546" spans="35:64" x14ac:dyDescent="0.3">
      <c r="AI546" s="763" t="s">
        <v>1047</v>
      </c>
      <c r="AJ546" s="764">
        <v>21100</v>
      </c>
      <c r="AK546" s="765">
        <v>546</v>
      </c>
      <c r="AL546" s="765">
        <v>14</v>
      </c>
      <c r="AM546" s="765">
        <v>313</v>
      </c>
      <c r="AN546" s="765">
        <v>22.2</v>
      </c>
      <c r="AO546" s="767" t="s">
        <v>1048</v>
      </c>
      <c r="AP546" s="767">
        <v>51</v>
      </c>
      <c r="AQ546" s="769">
        <v>29</v>
      </c>
      <c r="AR546" s="769">
        <v>21</v>
      </c>
      <c r="AS546" s="766">
        <v>122</v>
      </c>
      <c r="AT546" s="765">
        <v>182</v>
      </c>
      <c r="AU546" s="767">
        <v>6.45</v>
      </c>
      <c r="AV546" s="768">
        <v>33</v>
      </c>
      <c r="AW546" s="765">
        <v>1240</v>
      </c>
      <c r="AX546" s="765">
        <v>4480</v>
      </c>
      <c r="AY546" s="765">
        <v>233</v>
      </c>
      <c r="AZ546" s="765">
        <v>6110</v>
      </c>
      <c r="BA546" s="765">
        <v>157</v>
      </c>
      <c r="BB546" s="765">
        <v>986</v>
      </c>
      <c r="BC546" s="765">
        <v>75</v>
      </c>
      <c r="BD546" s="765">
        <v>1520</v>
      </c>
      <c r="BE546" s="767">
        <v>0.4937745499084415</v>
      </c>
      <c r="BF546" s="768">
        <v>530.79999999999995</v>
      </c>
      <c r="BG546" s="765">
        <v>6420</v>
      </c>
      <c r="BH546" s="765">
        <v>11000</v>
      </c>
      <c r="BI546" s="765">
        <v>42200</v>
      </c>
      <c r="BJ546" s="765">
        <v>98</v>
      </c>
      <c r="BK546" s="765">
        <v>1160</v>
      </c>
      <c r="BL546" s="771">
        <v>3040</v>
      </c>
    </row>
    <row r="547" spans="35:64" x14ac:dyDescent="0.3">
      <c r="AI547" s="763" t="s">
        <v>1049</v>
      </c>
      <c r="AJ547" s="764">
        <v>19200</v>
      </c>
      <c r="AK547" s="765">
        <v>543</v>
      </c>
      <c r="AL547" s="765">
        <v>12.7</v>
      </c>
      <c r="AM547" s="765">
        <v>312</v>
      </c>
      <c r="AN547" s="765">
        <v>20.3</v>
      </c>
      <c r="AO547" s="767" t="s">
        <v>1050</v>
      </c>
      <c r="AP547" s="767">
        <v>48</v>
      </c>
      <c r="AQ547" s="769">
        <v>29</v>
      </c>
      <c r="AR547" s="769">
        <v>21</v>
      </c>
      <c r="AS547" s="766">
        <v>111</v>
      </c>
      <c r="AT547" s="768">
        <v>165</v>
      </c>
      <c r="AU547" s="767">
        <v>7.05</v>
      </c>
      <c r="AV547" s="768">
        <v>35.799999999999997</v>
      </c>
      <c r="AW547" s="765">
        <v>1110</v>
      </c>
      <c r="AX547" s="765">
        <v>4060</v>
      </c>
      <c r="AY547" s="765">
        <v>231</v>
      </c>
      <c r="AZ547" s="765">
        <v>5460</v>
      </c>
      <c r="BA547" s="765">
        <v>139</v>
      </c>
      <c r="BB547" s="765">
        <v>877</v>
      </c>
      <c r="BC547" s="765">
        <v>74.400000000000006</v>
      </c>
      <c r="BD547" s="765">
        <v>1350</v>
      </c>
      <c r="BE547" s="767">
        <v>0.48904663807357768</v>
      </c>
      <c r="BF547" s="768">
        <v>527.70000000000005</v>
      </c>
      <c r="BG547" s="765">
        <v>4700</v>
      </c>
      <c r="BH547" s="765">
        <v>9640</v>
      </c>
      <c r="BI547" s="765">
        <v>41700</v>
      </c>
      <c r="BJ547" s="765">
        <v>86.6</v>
      </c>
      <c r="BK547" s="765">
        <v>1040</v>
      </c>
      <c r="BL547" s="771">
        <v>2710</v>
      </c>
    </row>
    <row r="548" spans="35:64" x14ac:dyDescent="0.3">
      <c r="AI548" s="763" t="s">
        <v>1051</v>
      </c>
      <c r="AJ548" s="764">
        <v>17600</v>
      </c>
      <c r="AK548" s="765">
        <v>549</v>
      </c>
      <c r="AL548" s="765">
        <v>14.7</v>
      </c>
      <c r="AM548" s="773">
        <v>214</v>
      </c>
      <c r="AN548" s="765">
        <v>23.6</v>
      </c>
      <c r="AO548" s="767" t="s">
        <v>1052</v>
      </c>
      <c r="AP548" s="767">
        <v>46</v>
      </c>
      <c r="AQ548" s="769">
        <v>28</v>
      </c>
      <c r="AR548" s="769">
        <v>21</v>
      </c>
      <c r="AS548" s="766">
        <v>101</v>
      </c>
      <c r="AT548" s="768">
        <v>150</v>
      </c>
      <c r="AU548" s="767">
        <v>7.68</v>
      </c>
      <c r="AV548" s="768">
        <v>39.6</v>
      </c>
      <c r="AW548" s="765">
        <v>1010</v>
      </c>
      <c r="AX548" s="765">
        <v>3710</v>
      </c>
      <c r="AY548" s="765">
        <v>231</v>
      </c>
      <c r="AZ548" s="765">
        <v>5040</v>
      </c>
      <c r="BA548" s="765">
        <v>127</v>
      </c>
      <c r="BB548" s="765">
        <v>808</v>
      </c>
      <c r="BC548" s="765">
        <v>74.2</v>
      </c>
      <c r="BD548" s="765">
        <v>1240</v>
      </c>
      <c r="BE548" s="767">
        <v>0.48604789826378259</v>
      </c>
      <c r="BF548" s="768">
        <v>526.6</v>
      </c>
      <c r="BG548" s="765">
        <v>3740</v>
      </c>
      <c r="BH548" s="765">
        <v>8820</v>
      </c>
      <c r="BI548" s="765">
        <v>41500</v>
      </c>
      <c r="BJ548" s="765">
        <v>79.7</v>
      </c>
      <c r="BK548" s="765">
        <v>963</v>
      </c>
      <c r="BL548" s="771">
        <v>2500</v>
      </c>
    </row>
    <row r="549" spans="35:64" x14ac:dyDescent="0.3">
      <c r="AI549" s="763" t="s">
        <v>1053</v>
      </c>
      <c r="AJ549" s="764">
        <v>15700</v>
      </c>
      <c r="AK549" s="765">
        <v>544</v>
      </c>
      <c r="AL549" s="765">
        <v>13.1</v>
      </c>
      <c r="AM549" s="773">
        <v>212</v>
      </c>
      <c r="AN549" s="765">
        <v>21.2</v>
      </c>
      <c r="AO549" s="767" t="s">
        <v>1054</v>
      </c>
      <c r="AP549" s="767">
        <v>44</v>
      </c>
      <c r="AQ549" s="769">
        <v>27</v>
      </c>
      <c r="AR549" s="769">
        <v>21</v>
      </c>
      <c r="AS549" s="766">
        <v>93</v>
      </c>
      <c r="AT549" s="768">
        <v>138</v>
      </c>
      <c r="AU549" s="767">
        <v>4.53</v>
      </c>
      <c r="AV549" s="768">
        <v>34.1</v>
      </c>
      <c r="AW549" s="765">
        <v>861</v>
      </c>
      <c r="AX549" s="765">
        <v>3140</v>
      </c>
      <c r="AY549" s="765">
        <v>230</v>
      </c>
      <c r="AZ549" s="765">
        <v>4550</v>
      </c>
      <c r="BA549" s="765">
        <v>114</v>
      </c>
      <c r="BB549" s="765">
        <v>726</v>
      </c>
      <c r="BC549" s="765">
        <v>73.400000000000006</v>
      </c>
      <c r="BD549" s="765">
        <v>1110</v>
      </c>
      <c r="BE549" s="767">
        <v>0.4817786612221146</v>
      </c>
      <c r="BF549" s="768">
        <v>523.79999999999995</v>
      </c>
      <c r="BG549" s="765">
        <v>2830</v>
      </c>
      <c r="BH549" s="765">
        <v>7790</v>
      </c>
      <c r="BI549" s="765">
        <v>41000</v>
      </c>
      <c r="BJ549" s="765">
        <v>71.2</v>
      </c>
      <c r="BK549" s="765">
        <v>869</v>
      </c>
      <c r="BL549" s="771">
        <v>2260</v>
      </c>
    </row>
    <row r="550" spans="35:64" x14ac:dyDescent="0.3">
      <c r="AI550" s="763" t="s">
        <v>1055</v>
      </c>
      <c r="AJ550" s="764">
        <v>13900</v>
      </c>
      <c r="AK550" s="765">
        <v>539</v>
      </c>
      <c r="AL550" s="765">
        <v>11.6</v>
      </c>
      <c r="AM550" s="765">
        <v>211</v>
      </c>
      <c r="AN550" s="765">
        <v>18.8</v>
      </c>
      <c r="AO550" s="767" t="s">
        <v>1056</v>
      </c>
      <c r="AP550" s="767">
        <v>42</v>
      </c>
      <c r="AQ550" s="769">
        <v>27</v>
      </c>
      <c r="AR550" s="769">
        <v>21</v>
      </c>
      <c r="AS550" s="766">
        <v>83</v>
      </c>
      <c r="AT550" s="768">
        <v>123</v>
      </c>
      <c r="AU550" s="767">
        <v>5</v>
      </c>
      <c r="AV550" s="768">
        <v>38.299999999999997</v>
      </c>
      <c r="AW550" s="765">
        <v>761</v>
      </c>
      <c r="AX550" s="765">
        <v>2800</v>
      </c>
      <c r="AY550" s="765">
        <v>229</v>
      </c>
      <c r="AZ550" s="765">
        <v>4150</v>
      </c>
      <c r="BA550" s="765">
        <v>103</v>
      </c>
      <c r="BB550" s="765">
        <v>659</v>
      </c>
      <c r="BC550" s="765">
        <v>73.2</v>
      </c>
      <c r="BD550" s="765">
        <v>1010</v>
      </c>
      <c r="BE550" s="767">
        <v>0.47891802474227813</v>
      </c>
      <c r="BF550" s="768">
        <v>522.70000000000005</v>
      </c>
      <c r="BG550" s="765">
        <v>2160</v>
      </c>
      <c r="BH550" s="765">
        <v>7030</v>
      </c>
      <c r="BI550" s="765">
        <v>40800</v>
      </c>
      <c r="BJ550" s="765">
        <v>64.599999999999994</v>
      </c>
      <c r="BK550" s="765">
        <v>794</v>
      </c>
      <c r="BL550" s="771">
        <v>2060</v>
      </c>
    </row>
    <row r="551" spans="35:64" x14ac:dyDescent="0.3">
      <c r="AI551" s="763" t="s">
        <v>1057</v>
      </c>
      <c r="AJ551" s="764">
        <v>12900</v>
      </c>
      <c r="AK551" s="765">
        <v>537</v>
      </c>
      <c r="AL551" s="765">
        <v>10.9</v>
      </c>
      <c r="AM551" s="765">
        <v>210</v>
      </c>
      <c r="AN551" s="765">
        <v>17.399999999999999</v>
      </c>
      <c r="AO551" s="767" t="s">
        <v>1058</v>
      </c>
      <c r="AP551" s="767">
        <v>40</v>
      </c>
      <c r="AQ551" s="765">
        <v>23</v>
      </c>
      <c r="AR551" s="769">
        <v>21</v>
      </c>
      <c r="AS551" s="766">
        <v>73</v>
      </c>
      <c r="AT551" s="768">
        <v>109</v>
      </c>
      <c r="AU551" s="767">
        <v>5.61</v>
      </c>
      <c r="AV551" s="768">
        <v>43.2</v>
      </c>
      <c r="AW551" s="765">
        <v>667</v>
      </c>
      <c r="AX551" s="765">
        <v>2480</v>
      </c>
      <c r="AY551" s="765">
        <v>221</v>
      </c>
      <c r="AZ551" s="765">
        <v>3610</v>
      </c>
      <c r="BA551" s="765">
        <v>38.700000000000003</v>
      </c>
      <c r="BB551" s="765">
        <v>362</v>
      </c>
      <c r="BC551" s="765">
        <v>46.9</v>
      </c>
      <c r="BD551" s="765">
        <v>569</v>
      </c>
      <c r="BE551" s="767">
        <v>0.31995634908777298</v>
      </c>
      <c r="BF551" s="768">
        <v>525.4</v>
      </c>
      <c r="BG551" s="765">
        <v>2500</v>
      </c>
      <c r="BH551" s="765">
        <v>2670</v>
      </c>
      <c r="BI551" s="765">
        <v>28100</v>
      </c>
      <c r="BJ551" s="765">
        <v>35.5</v>
      </c>
      <c r="BK551" s="765">
        <v>618</v>
      </c>
      <c r="BL551" s="771">
        <v>1790</v>
      </c>
    </row>
    <row r="552" spans="35:64" x14ac:dyDescent="0.3">
      <c r="AI552" s="763" t="s">
        <v>1059</v>
      </c>
      <c r="AJ552" s="764">
        <v>11800</v>
      </c>
      <c r="AK552" s="765">
        <v>533</v>
      </c>
      <c r="AL552" s="765">
        <v>10.199999999999999</v>
      </c>
      <c r="AM552" s="765">
        <v>209</v>
      </c>
      <c r="AN552" s="765">
        <v>15.6</v>
      </c>
      <c r="AO552" s="767" t="s">
        <v>1060</v>
      </c>
      <c r="AP552" s="767">
        <v>38</v>
      </c>
      <c r="AQ552" s="765">
        <v>22</v>
      </c>
      <c r="AR552" s="769">
        <v>21</v>
      </c>
      <c r="AS552" s="766">
        <v>68</v>
      </c>
      <c r="AT552" s="768">
        <v>101</v>
      </c>
      <c r="AU552" s="767">
        <v>6.03</v>
      </c>
      <c r="AV552" s="768">
        <v>46.1</v>
      </c>
      <c r="AW552" s="765">
        <v>617</v>
      </c>
      <c r="AX552" s="765">
        <v>2300</v>
      </c>
      <c r="AY552" s="765">
        <v>220</v>
      </c>
      <c r="AZ552" s="765">
        <v>3210</v>
      </c>
      <c r="BA552" s="765">
        <v>33.799999999999997</v>
      </c>
      <c r="BB552" s="765">
        <v>319</v>
      </c>
      <c r="BC552" s="765">
        <v>46.4</v>
      </c>
      <c r="BD552" s="765">
        <v>499</v>
      </c>
      <c r="BE552" s="767">
        <v>0.31590256656956123</v>
      </c>
      <c r="BF552" s="768">
        <v>522.79999999999995</v>
      </c>
      <c r="BG552" s="765">
        <v>1800</v>
      </c>
      <c r="BH552" s="765">
        <v>2310</v>
      </c>
      <c r="BI552" s="765">
        <v>27700</v>
      </c>
      <c r="BJ552" s="765">
        <v>31.1</v>
      </c>
      <c r="BK552" s="765">
        <v>551</v>
      </c>
      <c r="BL552" s="771">
        <v>1590</v>
      </c>
    </row>
    <row r="553" spans="35:64" x14ac:dyDescent="0.3">
      <c r="AI553" s="763" t="s">
        <v>1061</v>
      </c>
      <c r="AJ553" s="764">
        <v>10500</v>
      </c>
      <c r="AK553" s="765">
        <v>528</v>
      </c>
      <c r="AL553" s="765">
        <v>9.5</v>
      </c>
      <c r="AM553" s="765">
        <v>209</v>
      </c>
      <c r="AN553" s="765">
        <v>13.3</v>
      </c>
      <c r="AO553" s="767" t="s">
        <v>1062</v>
      </c>
      <c r="AP553" s="767">
        <v>36</v>
      </c>
      <c r="AQ553" s="765">
        <v>21</v>
      </c>
      <c r="AR553" s="769">
        <v>21</v>
      </c>
      <c r="AS553" s="766">
        <v>62</v>
      </c>
      <c r="AT553" s="768">
        <v>92</v>
      </c>
      <c r="AU553" s="767">
        <v>6.7</v>
      </c>
      <c r="AV553" s="768">
        <v>49.2</v>
      </c>
      <c r="AW553" s="765">
        <v>552</v>
      </c>
      <c r="AX553" s="765">
        <v>2070</v>
      </c>
      <c r="AY553" s="765">
        <v>219</v>
      </c>
      <c r="AZ553" s="765">
        <v>2830</v>
      </c>
      <c r="BA553" s="765">
        <v>29.5</v>
      </c>
      <c r="BB553" s="765">
        <v>280</v>
      </c>
      <c r="BC553" s="765">
        <v>46.1</v>
      </c>
      <c r="BD553" s="765">
        <v>437</v>
      </c>
      <c r="BE553" s="767">
        <v>0.31295879613224048</v>
      </c>
      <c r="BF553" s="768">
        <v>520.20000000000005</v>
      </c>
      <c r="BG553" s="765">
        <v>1260</v>
      </c>
      <c r="BH553" s="765">
        <v>2000</v>
      </c>
      <c r="BI553" s="765">
        <v>27400</v>
      </c>
      <c r="BJ553" s="765">
        <v>27.2</v>
      </c>
      <c r="BK553" s="765">
        <v>488</v>
      </c>
      <c r="BL553" s="771">
        <v>1400</v>
      </c>
    </row>
    <row r="554" spans="35:64" x14ac:dyDescent="0.3">
      <c r="AI554" s="763" t="s">
        <v>1063</v>
      </c>
      <c r="AJ554" s="764">
        <v>9120</v>
      </c>
      <c r="AK554" s="765">
        <v>524</v>
      </c>
      <c r="AL554" s="765">
        <v>8.9</v>
      </c>
      <c r="AM554" s="765">
        <v>207</v>
      </c>
      <c r="AN554" s="765">
        <v>10.9</v>
      </c>
      <c r="AO554" s="767" t="s">
        <v>1064</v>
      </c>
      <c r="AP554" s="767">
        <v>34</v>
      </c>
      <c r="AQ554" s="769">
        <v>21</v>
      </c>
      <c r="AR554" s="769">
        <v>21</v>
      </c>
      <c r="AS554" s="766">
        <v>55</v>
      </c>
      <c r="AT554" s="768">
        <v>82</v>
      </c>
      <c r="AU554" s="767">
        <v>7.86</v>
      </c>
      <c r="AV554" s="768">
        <v>52.8</v>
      </c>
      <c r="AW554" s="765">
        <v>477</v>
      </c>
      <c r="AX554" s="765">
        <v>1810</v>
      </c>
      <c r="AY554" s="765">
        <v>219</v>
      </c>
      <c r="AZ554" s="765">
        <v>2620</v>
      </c>
      <c r="BA554" s="765">
        <v>26.9</v>
      </c>
      <c r="BB554" s="765">
        <v>256</v>
      </c>
      <c r="BC554" s="765">
        <v>45.6</v>
      </c>
      <c r="BD554" s="765">
        <v>400</v>
      </c>
      <c r="BE554" s="767">
        <v>0.31016443573238672</v>
      </c>
      <c r="BF554" s="768">
        <v>519.6</v>
      </c>
      <c r="BG554" s="765">
        <v>1020</v>
      </c>
      <c r="BH554" s="765">
        <v>1820</v>
      </c>
      <c r="BI554" s="765">
        <v>27300</v>
      </c>
      <c r="BJ554" s="765">
        <v>24.9</v>
      </c>
      <c r="BK554" s="765">
        <v>450</v>
      </c>
      <c r="BL554" s="771">
        <v>1290</v>
      </c>
    </row>
    <row r="555" spans="35:64" x14ac:dyDescent="0.3">
      <c r="AI555" s="763" t="s">
        <v>1065</v>
      </c>
      <c r="AJ555" s="764">
        <v>10800</v>
      </c>
      <c r="AK555" s="765">
        <v>535</v>
      </c>
      <c r="AL555" s="765">
        <v>10.3</v>
      </c>
      <c r="AM555" s="765">
        <v>166</v>
      </c>
      <c r="AN555" s="765">
        <v>16.5</v>
      </c>
      <c r="AO555" s="773" t="s">
        <v>1066</v>
      </c>
      <c r="AP555" s="773">
        <v>32</v>
      </c>
      <c r="AQ555" s="769">
        <v>20</v>
      </c>
      <c r="AR555" s="769">
        <v>21</v>
      </c>
      <c r="AS555" s="766">
        <v>48</v>
      </c>
      <c r="AT555" s="768">
        <v>72</v>
      </c>
      <c r="AU555" s="767">
        <v>9.5</v>
      </c>
      <c r="AV555" s="768">
        <v>56.4</v>
      </c>
      <c r="AW555" s="765">
        <v>400</v>
      </c>
      <c r="AX555" s="765">
        <v>1520</v>
      </c>
      <c r="AY555" s="765">
        <v>217</v>
      </c>
      <c r="AZ555" s="765">
        <v>2360</v>
      </c>
      <c r="BA555" s="765">
        <v>23.8</v>
      </c>
      <c r="BB555" s="765">
        <v>228</v>
      </c>
      <c r="BC555" s="765">
        <v>44.9</v>
      </c>
      <c r="BD555" s="765">
        <v>355</v>
      </c>
      <c r="BE555" s="767">
        <v>0.30655496020816642</v>
      </c>
      <c r="BF555" s="768">
        <v>517.4</v>
      </c>
      <c r="BG555" s="765">
        <v>762</v>
      </c>
      <c r="BH555" s="765">
        <v>1590</v>
      </c>
      <c r="BI555" s="765">
        <v>27000</v>
      </c>
      <c r="BJ555" s="765">
        <v>22</v>
      </c>
      <c r="BK555" s="765">
        <v>401</v>
      </c>
      <c r="BL555" s="771">
        <v>1160</v>
      </c>
    </row>
    <row r="556" spans="35:64" x14ac:dyDescent="0.3">
      <c r="AI556" s="763" t="s">
        <v>1067</v>
      </c>
      <c r="AJ556" s="764">
        <v>9520</v>
      </c>
      <c r="AK556" s="765">
        <v>529</v>
      </c>
      <c r="AL556" s="765">
        <v>9.6999999999999993</v>
      </c>
      <c r="AM556" s="765">
        <v>166</v>
      </c>
      <c r="AN556" s="765">
        <v>13.6</v>
      </c>
      <c r="AO556" s="767" t="s">
        <v>1068</v>
      </c>
      <c r="AP556" s="767">
        <v>30</v>
      </c>
      <c r="AQ556" s="769">
        <v>20</v>
      </c>
      <c r="AR556" s="769">
        <v>21</v>
      </c>
      <c r="AS556" s="766">
        <v>57</v>
      </c>
      <c r="AT556" s="768">
        <v>85</v>
      </c>
      <c r="AU556" s="767">
        <v>5.03</v>
      </c>
      <c r="AV556" s="768">
        <v>48.7</v>
      </c>
      <c r="AW556" s="765">
        <v>485</v>
      </c>
      <c r="AX556" s="765">
        <v>1810</v>
      </c>
      <c r="AY556" s="765">
        <v>213</v>
      </c>
      <c r="AZ556" s="765">
        <v>2060</v>
      </c>
      <c r="BA556" s="765">
        <v>20.3</v>
      </c>
      <c r="BB556" s="765">
        <v>194</v>
      </c>
      <c r="BC556" s="765">
        <v>44</v>
      </c>
      <c r="BD556" s="765">
        <v>303</v>
      </c>
      <c r="BE556" s="767">
        <v>0.30186372131350248</v>
      </c>
      <c r="BF556" s="768">
        <v>514.70000000000005</v>
      </c>
      <c r="BG556" s="765">
        <v>518</v>
      </c>
      <c r="BH556" s="765">
        <v>1340</v>
      </c>
      <c r="BI556" s="765">
        <v>26900</v>
      </c>
      <c r="BJ556" s="765">
        <v>18.7</v>
      </c>
      <c r="BK556" s="765">
        <v>341</v>
      </c>
      <c r="BL556" s="771">
        <v>1010</v>
      </c>
    </row>
    <row r="557" spans="35:64" x14ac:dyDescent="0.3">
      <c r="AI557" s="763" t="s">
        <v>1069</v>
      </c>
      <c r="AJ557" s="764">
        <v>8370</v>
      </c>
      <c r="AK557" s="765">
        <v>525</v>
      </c>
      <c r="AL557" s="765">
        <v>8.9</v>
      </c>
      <c r="AM557" s="765">
        <v>165</v>
      </c>
      <c r="AN557" s="765">
        <v>11.4</v>
      </c>
      <c r="AO557" s="767" t="s">
        <v>1070</v>
      </c>
      <c r="AP557" s="767">
        <v>28</v>
      </c>
      <c r="AQ557" s="769">
        <v>20</v>
      </c>
      <c r="AR557" s="769">
        <v>21</v>
      </c>
      <c r="AS557" s="766">
        <v>50</v>
      </c>
      <c r="AT557" s="765">
        <v>74</v>
      </c>
      <c r="AU557" s="767">
        <v>6.1</v>
      </c>
      <c r="AV557" s="768">
        <v>51.7</v>
      </c>
      <c r="AW557" s="765">
        <v>411</v>
      </c>
      <c r="AX557" s="765">
        <v>1550</v>
      </c>
      <c r="AY557" s="765">
        <v>209</v>
      </c>
      <c r="AZ557" s="765">
        <v>1750</v>
      </c>
      <c r="BA557" s="765">
        <v>16.2</v>
      </c>
      <c r="BB557" s="765">
        <v>156</v>
      </c>
      <c r="BC557" s="765">
        <v>42.1</v>
      </c>
      <c r="BD557" s="765">
        <v>244</v>
      </c>
      <c r="BE557" s="767">
        <v>0.29361850697157471</v>
      </c>
      <c r="BF557" s="768">
        <v>513.1</v>
      </c>
      <c r="BG557" s="765">
        <v>334</v>
      </c>
      <c r="BH557" s="765">
        <v>1060</v>
      </c>
      <c r="BI557" s="765">
        <v>26600</v>
      </c>
      <c r="BJ557" s="765">
        <v>15</v>
      </c>
      <c r="BK557" s="765">
        <v>277</v>
      </c>
      <c r="BL557" s="771">
        <v>859</v>
      </c>
    </row>
    <row r="558" spans="35:64" x14ac:dyDescent="0.3">
      <c r="AI558" s="763" t="s">
        <v>1071</v>
      </c>
      <c r="AJ558" s="764">
        <v>59100</v>
      </c>
      <c r="AK558" s="765">
        <v>567</v>
      </c>
      <c r="AL558" s="765">
        <v>38.6</v>
      </c>
      <c r="AM558" s="765">
        <v>305</v>
      </c>
      <c r="AN558" s="765">
        <v>69.599999999999994</v>
      </c>
      <c r="AO558" s="773" t="s">
        <v>1072</v>
      </c>
      <c r="AP558" s="773">
        <v>33</v>
      </c>
      <c r="AQ558" s="769">
        <v>20</v>
      </c>
      <c r="AR558" s="769">
        <v>21</v>
      </c>
      <c r="AS558" s="766">
        <v>44</v>
      </c>
      <c r="AT558" s="765">
        <v>66</v>
      </c>
      <c r="AU558" s="767">
        <v>7.24</v>
      </c>
      <c r="AV558" s="768">
        <v>56.4</v>
      </c>
      <c r="AW558" s="765">
        <v>351</v>
      </c>
      <c r="AX558" s="765">
        <v>1340</v>
      </c>
      <c r="AY558" s="765">
        <v>212</v>
      </c>
      <c r="AZ558" s="765">
        <v>2100</v>
      </c>
      <c r="BA558" s="765">
        <v>12.6</v>
      </c>
      <c r="BB558" s="765">
        <v>152</v>
      </c>
      <c r="BC558" s="765">
        <v>34.200000000000003</v>
      </c>
      <c r="BD558" s="765">
        <v>242</v>
      </c>
      <c r="BE558" s="767">
        <v>0.23904533423112689</v>
      </c>
      <c r="BF558" s="768">
        <v>518.5</v>
      </c>
      <c r="BG558" s="765">
        <v>737</v>
      </c>
      <c r="BH558" s="765">
        <v>849</v>
      </c>
      <c r="BI558" s="765">
        <v>21500</v>
      </c>
      <c r="BJ558" s="765">
        <v>14.7</v>
      </c>
      <c r="BK558" s="765">
        <v>333</v>
      </c>
      <c r="BL558" s="771">
        <v>1030</v>
      </c>
    </row>
    <row r="559" spans="35:64" x14ac:dyDescent="0.3">
      <c r="AI559" s="763" t="s">
        <v>1073</v>
      </c>
      <c r="AJ559" s="764">
        <v>53700</v>
      </c>
      <c r="AK559" s="765">
        <v>555</v>
      </c>
      <c r="AL559" s="765">
        <v>35.6</v>
      </c>
      <c r="AM559" s="765">
        <v>302</v>
      </c>
      <c r="AN559" s="765">
        <v>63.5</v>
      </c>
      <c r="AO559" s="767" t="s">
        <v>1074</v>
      </c>
      <c r="AP559" s="767">
        <v>30</v>
      </c>
      <c r="AQ559" s="769">
        <v>20</v>
      </c>
      <c r="AR559" s="770">
        <v>21</v>
      </c>
      <c r="AS559" s="766">
        <v>311</v>
      </c>
      <c r="AT559" s="765">
        <v>464</v>
      </c>
      <c r="AU559" s="767">
        <v>2.19</v>
      </c>
      <c r="AV559" s="768">
        <v>11.1</v>
      </c>
      <c r="AW559" s="765">
        <v>2900</v>
      </c>
      <c r="AX559" s="765">
        <v>10200</v>
      </c>
      <c r="AY559" s="765">
        <v>208</v>
      </c>
      <c r="AZ559" s="765">
        <v>1810</v>
      </c>
      <c r="BA559" s="765">
        <v>10.4</v>
      </c>
      <c r="BB559" s="765">
        <v>125</v>
      </c>
      <c r="BC559" s="765">
        <v>33.1</v>
      </c>
      <c r="BD559" s="765">
        <v>200</v>
      </c>
      <c r="BE559" s="767">
        <v>0.23394782360942201</v>
      </c>
      <c r="BF559" s="768">
        <v>515.4</v>
      </c>
      <c r="BG559" s="765">
        <v>480</v>
      </c>
      <c r="BH559" s="765">
        <v>692</v>
      </c>
      <c r="BI559" s="765">
        <v>21400</v>
      </c>
      <c r="BJ559" s="765">
        <v>12.1</v>
      </c>
      <c r="BK559" s="765">
        <v>274</v>
      </c>
      <c r="BL559" s="771">
        <v>887</v>
      </c>
    </row>
    <row r="560" spans="35:64" x14ac:dyDescent="0.3">
      <c r="AI560" s="763" t="s">
        <v>1075</v>
      </c>
      <c r="AJ560" s="764">
        <v>48900</v>
      </c>
      <c r="AK560" s="765">
        <v>545</v>
      </c>
      <c r="AL560" s="765">
        <v>32.5</v>
      </c>
      <c r="AM560" s="765">
        <v>299</v>
      </c>
      <c r="AN560" s="765">
        <v>58.4</v>
      </c>
      <c r="AO560" s="767" t="s">
        <v>1076</v>
      </c>
      <c r="AP560" s="767">
        <v>28</v>
      </c>
      <c r="AQ560" s="769">
        <v>20</v>
      </c>
      <c r="AR560" s="770">
        <v>21</v>
      </c>
      <c r="AS560" s="766">
        <v>283</v>
      </c>
      <c r="AT560" s="765">
        <v>421</v>
      </c>
      <c r="AU560" s="767">
        <v>2.38</v>
      </c>
      <c r="AV560" s="768">
        <v>12</v>
      </c>
      <c r="AW560" s="765">
        <v>2570</v>
      </c>
      <c r="AX560" s="765">
        <v>9250</v>
      </c>
      <c r="AY560" s="765">
        <v>205</v>
      </c>
      <c r="AZ560" s="765">
        <v>1560</v>
      </c>
      <c r="BA560" s="765">
        <v>8.57</v>
      </c>
      <c r="BB560" s="765">
        <v>104</v>
      </c>
      <c r="BC560" s="765">
        <v>32</v>
      </c>
      <c r="BD560" s="765">
        <v>166</v>
      </c>
      <c r="BE560" s="767">
        <v>0.22787932179286999</v>
      </c>
      <c r="BF560" s="768">
        <v>513.6</v>
      </c>
      <c r="BG560" s="765">
        <v>320</v>
      </c>
      <c r="BH560" s="765">
        <v>565</v>
      </c>
      <c r="BI560" s="765">
        <v>21200</v>
      </c>
      <c r="BJ560" s="765">
        <v>9.9600000000000009</v>
      </c>
      <c r="BK560" s="765">
        <v>228</v>
      </c>
      <c r="BL560" s="771">
        <v>764</v>
      </c>
    </row>
    <row r="561" spans="35:64" x14ac:dyDescent="0.3">
      <c r="AI561" s="763" t="s">
        <v>1077</v>
      </c>
      <c r="AJ561" s="764">
        <v>44400</v>
      </c>
      <c r="AK561" s="765">
        <v>535</v>
      </c>
      <c r="AL561" s="765">
        <v>29.5</v>
      </c>
      <c r="AM561" s="765">
        <v>296</v>
      </c>
      <c r="AN561" s="765">
        <v>53.6</v>
      </c>
      <c r="AO561" s="767" t="s">
        <v>1078</v>
      </c>
      <c r="AP561" s="767">
        <v>86</v>
      </c>
      <c r="AQ561" s="769">
        <v>35</v>
      </c>
      <c r="AR561" s="770">
        <v>18</v>
      </c>
      <c r="AS561" s="766">
        <v>258</v>
      </c>
      <c r="AT561" s="765">
        <v>384</v>
      </c>
      <c r="AU561" s="767">
        <v>2.56</v>
      </c>
      <c r="AV561" s="768">
        <v>13.2</v>
      </c>
      <c r="AW561" s="765">
        <v>2290</v>
      </c>
      <c r="AX561" s="765">
        <v>8420</v>
      </c>
      <c r="AY561" s="765">
        <v>222</v>
      </c>
      <c r="AZ561" s="765">
        <v>12400</v>
      </c>
      <c r="BA561" s="765">
        <v>331</v>
      </c>
      <c r="BB561" s="765">
        <v>2170</v>
      </c>
      <c r="BC561" s="765">
        <v>74.900000000000006</v>
      </c>
      <c r="BD561" s="765">
        <v>3400</v>
      </c>
      <c r="BE561" s="767">
        <v>0.50535361627286512</v>
      </c>
      <c r="BF561" s="768">
        <v>497.4</v>
      </c>
      <c r="BG561" s="765">
        <v>73100</v>
      </c>
      <c r="BH561" s="765">
        <v>20500</v>
      </c>
      <c r="BI561" s="765">
        <v>37900</v>
      </c>
      <c r="BJ561" s="765">
        <v>201</v>
      </c>
      <c r="BK561" s="765">
        <v>2310</v>
      </c>
      <c r="BL561" s="771">
        <v>6160</v>
      </c>
    </row>
    <row r="562" spans="35:64" x14ac:dyDescent="0.3">
      <c r="AI562" s="763" t="s">
        <v>1079</v>
      </c>
      <c r="AJ562" s="764">
        <v>40000</v>
      </c>
      <c r="AK562" s="765">
        <v>525</v>
      </c>
      <c r="AL562" s="765">
        <v>26.9</v>
      </c>
      <c r="AM562" s="765">
        <v>293</v>
      </c>
      <c r="AN562" s="765">
        <v>48.5</v>
      </c>
      <c r="AO562" s="767" t="s">
        <v>1080</v>
      </c>
      <c r="AP562" s="767">
        <v>80</v>
      </c>
      <c r="AQ562" s="769">
        <v>33</v>
      </c>
      <c r="AR562" s="770">
        <v>18</v>
      </c>
      <c r="AS562" s="766">
        <v>234</v>
      </c>
      <c r="AT562" s="765">
        <v>349</v>
      </c>
      <c r="AU562" s="767">
        <v>2.76</v>
      </c>
      <c r="AV562" s="768">
        <v>14.5</v>
      </c>
      <c r="AW562" s="765">
        <v>2040</v>
      </c>
      <c r="AX562" s="765">
        <v>7640</v>
      </c>
      <c r="AY562" s="765">
        <v>219</v>
      </c>
      <c r="AZ562" s="765">
        <v>11100</v>
      </c>
      <c r="BA562" s="765">
        <v>293</v>
      </c>
      <c r="BB562" s="765">
        <v>1940</v>
      </c>
      <c r="BC562" s="765">
        <v>73.900000000000006</v>
      </c>
      <c r="BD562" s="765">
        <v>3030</v>
      </c>
      <c r="BE562" s="767">
        <v>0.49618011486884073</v>
      </c>
      <c r="BF562" s="768">
        <v>491.5</v>
      </c>
      <c r="BG562" s="765">
        <v>55700</v>
      </c>
      <c r="BH562" s="765">
        <v>17700</v>
      </c>
      <c r="BI562" s="765">
        <v>37100</v>
      </c>
      <c r="BJ562" s="765">
        <v>178</v>
      </c>
      <c r="BK562" s="765">
        <v>2080</v>
      </c>
      <c r="BL562" s="771">
        <v>5530</v>
      </c>
    </row>
    <row r="563" spans="35:64" x14ac:dyDescent="0.3">
      <c r="AI563" s="763" t="s">
        <v>1081</v>
      </c>
      <c r="AJ563" s="764">
        <v>36400</v>
      </c>
      <c r="AK563" s="765">
        <v>517</v>
      </c>
      <c r="AL563" s="765">
        <v>24.4</v>
      </c>
      <c r="AM563" s="765">
        <v>291</v>
      </c>
      <c r="AN563" s="765">
        <v>44.4</v>
      </c>
      <c r="AO563" s="767" t="s">
        <v>1082</v>
      </c>
      <c r="AP563" s="767">
        <v>75</v>
      </c>
      <c r="AQ563" s="769">
        <v>31</v>
      </c>
      <c r="AR563" s="770">
        <v>18</v>
      </c>
      <c r="AS563" s="766">
        <v>211</v>
      </c>
      <c r="AT563" s="765">
        <v>315</v>
      </c>
      <c r="AU563" s="767">
        <v>3.02</v>
      </c>
      <c r="AV563" s="768">
        <v>15.9</v>
      </c>
      <c r="AW563" s="765">
        <v>1800</v>
      </c>
      <c r="AX563" s="765">
        <v>6850</v>
      </c>
      <c r="AY563" s="765">
        <v>217</v>
      </c>
      <c r="AZ563" s="765">
        <v>10000</v>
      </c>
      <c r="BA563" s="765">
        <v>261</v>
      </c>
      <c r="BB563" s="765">
        <v>1750</v>
      </c>
      <c r="BC563" s="765">
        <v>73.099999999999994</v>
      </c>
      <c r="BD563" s="765">
        <v>2730</v>
      </c>
      <c r="BE563" s="767">
        <v>0.48875026471776711</v>
      </c>
      <c r="BF563" s="768">
        <v>486.6</v>
      </c>
      <c r="BG563" s="765">
        <v>42700</v>
      </c>
      <c r="BH563" s="765">
        <v>15500</v>
      </c>
      <c r="BI563" s="765">
        <v>36400</v>
      </c>
      <c r="BJ563" s="765">
        <v>159</v>
      </c>
      <c r="BK563" s="765">
        <v>1890</v>
      </c>
      <c r="BL563" s="771">
        <v>4990</v>
      </c>
    </row>
    <row r="564" spans="35:64" x14ac:dyDescent="0.3">
      <c r="AI564" s="763" t="s">
        <v>1083</v>
      </c>
      <c r="AJ564" s="764">
        <v>33100</v>
      </c>
      <c r="AK564" s="765">
        <v>509</v>
      </c>
      <c r="AL564" s="765">
        <v>22.6</v>
      </c>
      <c r="AM564" s="765">
        <v>289</v>
      </c>
      <c r="AN564" s="765">
        <v>40.4</v>
      </c>
      <c r="AO564" s="767" t="s">
        <v>1084</v>
      </c>
      <c r="AP564" s="767">
        <v>70</v>
      </c>
      <c r="AQ564" s="769">
        <v>30</v>
      </c>
      <c r="AR564" s="770">
        <v>18</v>
      </c>
      <c r="AS564" s="766">
        <v>192</v>
      </c>
      <c r="AT564" s="765">
        <v>286</v>
      </c>
      <c r="AU564" s="767">
        <v>3.28</v>
      </c>
      <c r="AV564" s="768">
        <v>17.5</v>
      </c>
      <c r="AW564" s="765">
        <v>1610</v>
      </c>
      <c r="AX564" s="765">
        <v>6230</v>
      </c>
      <c r="AY564" s="765">
        <v>214</v>
      </c>
      <c r="AZ564" s="765">
        <v>9010</v>
      </c>
      <c r="BA564" s="765">
        <v>233</v>
      </c>
      <c r="BB564" s="765">
        <v>1570</v>
      </c>
      <c r="BC564" s="765">
        <v>72.3</v>
      </c>
      <c r="BD564" s="765">
        <v>2440</v>
      </c>
      <c r="BE564" s="767">
        <v>0.48180992625143187</v>
      </c>
      <c r="BF564" s="768">
        <v>481.4</v>
      </c>
      <c r="BG564" s="765">
        <v>32800</v>
      </c>
      <c r="BH564" s="765">
        <v>13500</v>
      </c>
      <c r="BI564" s="765">
        <v>35600</v>
      </c>
      <c r="BJ564" s="765">
        <v>141</v>
      </c>
      <c r="BK564" s="765">
        <v>1720</v>
      </c>
      <c r="BL564" s="771">
        <v>4490</v>
      </c>
    </row>
    <row r="565" spans="35:64" x14ac:dyDescent="0.3">
      <c r="AI565" s="763" t="s">
        <v>1085</v>
      </c>
      <c r="AJ565" s="764">
        <v>29900</v>
      </c>
      <c r="AK565" s="765">
        <v>501</v>
      </c>
      <c r="AL565" s="765">
        <v>20.6</v>
      </c>
      <c r="AM565" s="765">
        <v>287</v>
      </c>
      <c r="AN565" s="765">
        <v>36.6</v>
      </c>
      <c r="AO565" s="767" t="s">
        <v>1086</v>
      </c>
      <c r="AP565" s="767">
        <v>65</v>
      </c>
      <c r="AQ565" s="769">
        <v>29</v>
      </c>
      <c r="AR565" s="770">
        <v>18</v>
      </c>
      <c r="AS565" s="766">
        <v>175</v>
      </c>
      <c r="AT565" s="765">
        <v>260</v>
      </c>
      <c r="AU565" s="767">
        <v>3.58</v>
      </c>
      <c r="AV565" s="768">
        <v>18.899999999999999</v>
      </c>
      <c r="AW565" s="765">
        <v>1440</v>
      </c>
      <c r="AX565" s="765">
        <v>5650</v>
      </c>
      <c r="AY565" s="765">
        <v>212</v>
      </c>
      <c r="AZ565" s="765">
        <v>8020</v>
      </c>
      <c r="BA565" s="765">
        <v>204</v>
      </c>
      <c r="BB565" s="765">
        <v>1390</v>
      </c>
      <c r="BC565" s="765">
        <v>71.400000000000006</v>
      </c>
      <c r="BD565" s="765">
        <v>2160</v>
      </c>
      <c r="BE565" s="767">
        <v>0.47388913696936519</v>
      </c>
      <c r="BF565" s="768">
        <v>476.5</v>
      </c>
      <c r="BG565" s="765">
        <v>24300</v>
      </c>
      <c r="BH565" s="765">
        <v>11600</v>
      </c>
      <c r="BI565" s="765">
        <v>34900</v>
      </c>
      <c r="BJ565" s="765">
        <v>124</v>
      </c>
      <c r="BK565" s="765">
        <v>1540</v>
      </c>
      <c r="BL565" s="771">
        <v>4000</v>
      </c>
    </row>
    <row r="566" spans="35:64" x14ac:dyDescent="0.3">
      <c r="AI566" s="763" t="s">
        <v>1087</v>
      </c>
      <c r="AJ566" s="764">
        <v>27100</v>
      </c>
      <c r="AK566" s="765">
        <v>495</v>
      </c>
      <c r="AL566" s="765">
        <v>18.5</v>
      </c>
      <c r="AM566" s="765">
        <v>285</v>
      </c>
      <c r="AN566" s="765">
        <v>33.5</v>
      </c>
      <c r="AO566" s="767" t="s">
        <v>1088</v>
      </c>
      <c r="AP566" s="767">
        <v>61</v>
      </c>
      <c r="AQ566" s="769">
        <v>27</v>
      </c>
      <c r="AR566" s="770">
        <v>18</v>
      </c>
      <c r="AS566" s="766">
        <v>158</v>
      </c>
      <c r="AT566" s="765">
        <v>235</v>
      </c>
      <c r="AU566" s="767">
        <v>3.92</v>
      </c>
      <c r="AV566" s="768">
        <v>20.8</v>
      </c>
      <c r="AW566" s="765">
        <v>1270</v>
      </c>
      <c r="AX566" s="765">
        <v>5080</v>
      </c>
      <c r="AY566" s="765">
        <v>210</v>
      </c>
      <c r="AZ566" s="765">
        <v>7240</v>
      </c>
      <c r="BA566" s="765">
        <v>183</v>
      </c>
      <c r="BB566" s="765">
        <v>1260</v>
      </c>
      <c r="BC566" s="765">
        <v>70.900000000000006</v>
      </c>
      <c r="BD566" s="765">
        <v>1940</v>
      </c>
      <c r="BE566" s="767">
        <v>0.46829421415661932</v>
      </c>
      <c r="BF566" s="768">
        <v>472.6</v>
      </c>
      <c r="BG566" s="765">
        <v>18600</v>
      </c>
      <c r="BH566" s="765">
        <v>10200</v>
      </c>
      <c r="BI566" s="765">
        <v>34400</v>
      </c>
      <c r="BJ566" s="765">
        <v>111</v>
      </c>
      <c r="BK566" s="765">
        <v>1400</v>
      </c>
      <c r="BL566" s="771">
        <v>3610</v>
      </c>
    </row>
    <row r="567" spans="35:64" x14ac:dyDescent="0.3">
      <c r="AI567" s="763" t="s">
        <v>1089</v>
      </c>
      <c r="AJ567" s="764">
        <v>24600</v>
      </c>
      <c r="AK567" s="765">
        <v>489</v>
      </c>
      <c r="AL567" s="765">
        <v>17</v>
      </c>
      <c r="AM567" s="765">
        <v>283</v>
      </c>
      <c r="AN567" s="765">
        <v>30.5</v>
      </c>
      <c r="AO567" s="767" t="s">
        <v>1090</v>
      </c>
      <c r="AP567" s="767">
        <v>62</v>
      </c>
      <c r="AQ567" s="769">
        <v>32</v>
      </c>
      <c r="AR567" s="770">
        <v>18</v>
      </c>
      <c r="AS567" s="766">
        <v>143</v>
      </c>
      <c r="AT567" s="765">
        <v>213</v>
      </c>
      <c r="AU567" s="767">
        <v>4.25</v>
      </c>
      <c r="AV567" s="768">
        <v>23.1</v>
      </c>
      <c r="AW567" s="765">
        <v>1140</v>
      </c>
      <c r="AX567" s="765">
        <v>4620</v>
      </c>
      <c r="AY567" s="765">
        <v>208</v>
      </c>
      <c r="AZ567" s="765">
        <v>6530</v>
      </c>
      <c r="BA567" s="765">
        <v>163</v>
      </c>
      <c r="BB567" s="765">
        <v>1130</v>
      </c>
      <c r="BC567" s="765">
        <v>70.099999999999994</v>
      </c>
      <c r="BD567" s="765">
        <v>1740</v>
      </c>
      <c r="BE567" s="767">
        <v>0.46235806341138869</v>
      </c>
      <c r="BF567" s="768">
        <v>468.6</v>
      </c>
      <c r="BG567" s="765">
        <v>14100</v>
      </c>
      <c r="BH567" s="765">
        <v>8950</v>
      </c>
      <c r="BI567" s="765">
        <v>33900</v>
      </c>
      <c r="BJ567" s="765">
        <v>98.8</v>
      </c>
      <c r="BK567" s="765">
        <v>1260</v>
      </c>
      <c r="BL567" s="771">
        <v>3250</v>
      </c>
    </row>
    <row r="568" spans="35:64" x14ac:dyDescent="0.3">
      <c r="AI568" s="763" t="s">
        <v>1091</v>
      </c>
      <c r="AJ568" s="764">
        <v>22600</v>
      </c>
      <c r="AK568" s="765">
        <v>482</v>
      </c>
      <c r="AL568" s="765">
        <v>16.600000000000001</v>
      </c>
      <c r="AM568" s="765">
        <v>286</v>
      </c>
      <c r="AN568" s="765">
        <v>26.9</v>
      </c>
      <c r="AO568" s="767" t="s">
        <v>1092</v>
      </c>
      <c r="AP568" s="767">
        <v>58</v>
      </c>
      <c r="AQ568" s="769">
        <v>31</v>
      </c>
      <c r="AR568" s="770">
        <v>18</v>
      </c>
      <c r="AS568" s="766">
        <v>130</v>
      </c>
      <c r="AT568" s="765">
        <v>193</v>
      </c>
      <c r="AU568" s="767">
        <v>4.6399999999999997</v>
      </c>
      <c r="AV568" s="768">
        <v>25.2</v>
      </c>
      <c r="AW568" s="765">
        <v>1020</v>
      </c>
      <c r="AX568" s="765">
        <v>4190</v>
      </c>
      <c r="AY568" s="765">
        <v>206</v>
      </c>
      <c r="AZ568" s="765">
        <v>5840</v>
      </c>
      <c r="BA568" s="765">
        <v>145</v>
      </c>
      <c r="BB568" s="765">
        <v>1010</v>
      </c>
      <c r="BC568" s="765">
        <v>69.5</v>
      </c>
      <c r="BD568" s="765">
        <v>1550</v>
      </c>
      <c r="BE568" s="767">
        <v>0.45739826070711859</v>
      </c>
      <c r="BF568" s="768">
        <v>464.4</v>
      </c>
      <c r="BG568" s="765">
        <v>10500</v>
      </c>
      <c r="BH568" s="765">
        <v>7790</v>
      </c>
      <c r="BI568" s="765">
        <v>33300</v>
      </c>
      <c r="BJ568" s="765">
        <v>87.5</v>
      </c>
      <c r="BK568" s="765">
        <v>1130</v>
      </c>
      <c r="BL568" s="771">
        <v>2910</v>
      </c>
    </row>
    <row r="569" spans="35:64" x14ac:dyDescent="0.3">
      <c r="AI569" s="763" t="s">
        <v>1093</v>
      </c>
      <c r="AJ569" s="764">
        <v>20100</v>
      </c>
      <c r="AK569" s="765">
        <v>476</v>
      </c>
      <c r="AL569" s="765">
        <v>15</v>
      </c>
      <c r="AM569" s="765">
        <v>284</v>
      </c>
      <c r="AN569" s="765">
        <v>23.9</v>
      </c>
      <c r="AO569" s="767" t="s">
        <v>1094</v>
      </c>
      <c r="AP569" s="767">
        <v>55</v>
      </c>
      <c r="AQ569" s="769">
        <v>30</v>
      </c>
      <c r="AR569" s="770">
        <v>18</v>
      </c>
      <c r="AS569" s="766">
        <v>119</v>
      </c>
      <c r="AT569" s="768">
        <v>177</v>
      </c>
      <c r="AU569" s="767">
        <v>5.32</v>
      </c>
      <c r="AV569" s="768">
        <v>25.8</v>
      </c>
      <c r="AW569" s="765">
        <v>910</v>
      </c>
      <c r="AX569" s="765">
        <v>3780</v>
      </c>
      <c r="AY569" s="765">
        <v>205</v>
      </c>
      <c r="AZ569" s="765">
        <v>5270</v>
      </c>
      <c r="BA569" s="765">
        <v>129</v>
      </c>
      <c r="BB569" s="765">
        <v>909</v>
      </c>
      <c r="BC569" s="765">
        <v>69.099999999999994</v>
      </c>
      <c r="BD569" s="765">
        <v>1400</v>
      </c>
      <c r="BE569" s="767">
        <v>0.45173240448332908</v>
      </c>
      <c r="BF569" s="768">
        <v>461.5</v>
      </c>
      <c r="BG569" s="765">
        <v>7970</v>
      </c>
      <c r="BH569" s="765">
        <v>6890</v>
      </c>
      <c r="BI569" s="765">
        <v>32900</v>
      </c>
      <c r="BJ569" s="765">
        <v>78.5</v>
      </c>
      <c r="BK569" s="765">
        <v>1030</v>
      </c>
      <c r="BL569" s="771">
        <v>2630</v>
      </c>
    </row>
    <row r="570" spans="35:64" x14ac:dyDescent="0.3">
      <c r="AI570" s="763" t="s">
        <v>1095</v>
      </c>
      <c r="AJ570" s="764">
        <v>18400</v>
      </c>
      <c r="AK570" s="765">
        <v>472</v>
      </c>
      <c r="AL570" s="765">
        <v>13.6</v>
      </c>
      <c r="AM570" s="765">
        <v>283</v>
      </c>
      <c r="AN570" s="765">
        <v>22.1</v>
      </c>
      <c r="AO570" s="767" t="s">
        <v>1096</v>
      </c>
      <c r="AP570" s="767">
        <v>52</v>
      </c>
      <c r="AQ570" s="769">
        <v>29</v>
      </c>
      <c r="AR570" s="770">
        <v>18</v>
      </c>
      <c r="AS570" s="766">
        <v>106</v>
      </c>
      <c r="AT570" s="768">
        <v>158</v>
      </c>
      <c r="AU570" s="767">
        <v>5.94</v>
      </c>
      <c r="AV570" s="768">
        <v>28.5</v>
      </c>
      <c r="AW570" s="765">
        <v>796</v>
      </c>
      <c r="AX570" s="765">
        <v>3350</v>
      </c>
      <c r="AY570" s="765">
        <v>204</v>
      </c>
      <c r="AZ570" s="765">
        <v>4750</v>
      </c>
      <c r="BA570" s="765">
        <v>115</v>
      </c>
      <c r="BB570" s="765">
        <v>816</v>
      </c>
      <c r="BC570" s="765">
        <v>68.5</v>
      </c>
      <c r="BD570" s="765">
        <v>1250</v>
      </c>
      <c r="BE570" s="767">
        <v>0.44636034506462219</v>
      </c>
      <c r="BF570" s="768">
        <v>458.5</v>
      </c>
      <c r="BG570" s="765">
        <v>6030</v>
      </c>
      <c r="BH570" s="765">
        <v>6060</v>
      </c>
      <c r="BI570" s="765">
        <v>32400</v>
      </c>
      <c r="BJ570" s="765">
        <v>70</v>
      </c>
      <c r="BK570" s="765">
        <v>930</v>
      </c>
      <c r="BL570" s="771">
        <v>2370</v>
      </c>
    </row>
    <row r="571" spans="35:64" x14ac:dyDescent="0.3">
      <c r="AI571" s="763" t="s">
        <v>1097</v>
      </c>
      <c r="AJ571" s="764">
        <v>16400</v>
      </c>
      <c r="AK571" s="765">
        <v>467</v>
      </c>
      <c r="AL571" s="765">
        <v>12.2</v>
      </c>
      <c r="AM571" s="765">
        <v>282</v>
      </c>
      <c r="AN571" s="765">
        <v>19.600000000000001</v>
      </c>
      <c r="AO571" s="767" t="s">
        <v>1098</v>
      </c>
      <c r="AP571" s="767">
        <v>49</v>
      </c>
      <c r="AQ571" s="769">
        <v>29</v>
      </c>
      <c r="AR571" s="770">
        <v>18</v>
      </c>
      <c r="AS571" s="766">
        <v>97</v>
      </c>
      <c r="AT571" s="768">
        <v>144</v>
      </c>
      <c r="AU571" s="767">
        <v>6.4</v>
      </c>
      <c r="AV571" s="768">
        <v>31.5</v>
      </c>
      <c r="AW571" s="765">
        <v>726</v>
      </c>
      <c r="AX571" s="765">
        <v>3080</v>
      </c>
      <c r="AY571" s="765">
        <v>201</v>
      </c>
      <c r="AZ571" s="765">
        <v>4280</v>
      </c>
      <c r="BA571" s="765">
        <v>105</v>
      </c>
      <c r="BB571" s="765">
        <v>735</v>
      </c>
      <c r="BC571" s="765">
        <v>68.2</v>
      </c>
      <c r="BD571" s="765">
        <v>1130</v>
      </c>
      <c r="BE571" s="767">
        <v>0.44714785296301102</v>
      </c>
      <c r="BF571" s="768">
        <v>455.1</v>
      </c>
      <c r="BG571" s="765">
        <v>4410</v>
      </c>
      <c r="BH571" s="765">
        <v>5440</v>
      </c>
      <c r="BI571" s="765">
        <v>32500</v>
      </c>
      <c r="BJ571" s="765">
        <v>62.6</v>
      </c>
      <c r="BK571" s="765">
        <v>825</v>
      </c>
      <c r="BL571" s="771">
        <v>2130</v>
      </c>
    </row>
    <row r="572" spans="35:64" x14ac:dyDescent="0.3">
      <c r="AI572" s="763" t="s">
        <v>1099</v>
      </c>
      <c r="AJ572" s="764">
        <v>14400</v>
      </c>
      <c r="AK572" s="765">
        <v>463</v>
      </c>
      <c r="AL572" s="765">
        <v>10.8</v>
      </c>
      <c r="AM572" s="773">
        <v>280</v>
      </c>
      <c r="AN572" s="765">
        <v>17.3</v>
      </c>
      <c r="AO572" s="767" t="s">
        <v>1100</v>
      </c>
      <c r="AP572" s="767">
        <v>46</v>
      </c>
      <c r="AQ572" s="769">
        <v>28</v>
      </c>
      <c r="AR572" s="770">
        <v>18</v>
      </c>
      <c r="AS572" s="766">
        <v>86</v>
      </c>
      <c r="AT572" s="768">
        <v>128</v>
      </c>
      <c r="AU572" s="767">
        <v>7.19</v>
      </c>
      <c r="AV572" s="768">
        <v>35.1</v>
      </c>
      <c r="AW572" s="765">
        <v>637</v>
      </c>
      <c r="AX572" s="765">
        <v>2730</v>
      </c>
      <c r="AY572" s="765">
        <v>199</v>
      </c>
      <c r="AZ572" s="765">
        <v>3780</v>
      </c>
      <c r="BA572" s="765">
        <v>91.4</v>
      </c>
      <c r="BB572" s="765">
        <v>643</v>
      </c>
      <c r="BC572" s="765">
        <v>67.400000000000006</v>
      </c>
      <c r="BD572" s="765">
        <v>989</v>
      </c>
      <c r="BE572" s="767">
        <v>0.44161454163744462</v>
      </c>
      <c r="BF572" s="768">
        <v>452.1</v>
      </c>
      <c r="BG572" s="765">
        <v>3120</v>
      </c>
      <c r="BH572" s="765">
        <v>4670</v>
      </c>
      <c r="BI572" s="765">
        <v>32100</v>
      </c>
      <c r="BJ572" s="765">
        <v>54.5</v>
      </c>
      <c r="BK572" s="765">
        <v>727</v>
      </c>
      <c r="BL572" s="771">
        <v>1880</v>
      </c>
    </row>
    <row r="573" spans="35:64" x14ac:dyDescent="0.3">
      <c r="AI573" s="763" t="s">
        <v>1101</v>
      </c>
      <c r="AJ573" s="764">
        <v>13500</v>
      </c>
      <c r="AK573" s="765">
        <v>469</v>
      </c>
      <c r="AL573" s="765">
        <v>12.6</v>
      </c>
      <c r="AM573" s="773">
        <v>194</v>
      </c>
      <c r="AN573" s="765">
        <v>20.6</v>
      </c>
      <c r="AO573" s="767" t="s">
        <v>1102</v>
      </c>
      <c r="AP573" s="767">
        <v>44</v>
      </c>
      <c r="AQ573" s="769">
        <v>27</v>
      </c>
      <c r="AR573" s="770">
        <v>18</v>
      </c>
      <c r="AS573" s="766">
        <v>76</v>
      </c>
      <c r="AT573" s="768">
        <v>113</v>
      </c>
      <c r="AU573" s="767">
        <v>8.09</v>
      </c>
      <c r="AV573" s="768">
        <v>39.700000000000003</v>
      </c>
      <c r="AW573" s="765">
        <v>556</v>
      </c>
      <c r="AX573" s="765">
        <v>2400</v>
      </c>
      <c r="AY573" s="765">
        <v>199</v>
      </c>
      <c r="AZ573" s="765">
        <v>3450</v>
      </c>
      <c r="BA573" s="765">
        <v>83.6</v>
      </c>
      <c r="BB573" s="765">
        <v>591</v>
      </c>
      <c r="BC573" s="765">
        <v>67.400000000000006</v>
      </c>
      <c r="BD573" s="765">
        <v>906</v>
      </c>
      <c r="BE573" s="767">
        <v>0.43940126506982008</v>
      </c>
      <c r="BF573" s="768">
        <v>449.9</v>
      </c>
      <c r="BG573" s="765">
        <v>2440</v>
      </c>
      <c r="BH573" s="765">
        <v>4230</v>
      </c>
      <c r="BI573" s="765">
        <v>31800</v>
      </c>
      <c r="BJ573" s="765">
        <v>49.8</v>
      </c>
      <c r="BK573" s="765">
        <v>670</v>
      </c>
      <c r="BL573" s="771">
        <v>1720</v>
      </c>
    </row>
    <row r="574" spans="35:64" x14ac:dyDescent="0.3">
      <c r="AI574" s="763" t="s">
        <v>1103</v>
      </c>
      <c r="AJ574" s="764">
        <v>12300</v>
      </c>
      <c r="AK574" s="765">
        <v>466</v>
      </c>
      <c r="AL574" s="765">
        <v>11.4</v>
      </c>
      <c r="AM574" s="767">
        <v>193</v>
      </c>
      <c r="AN574" s="765">
        <v>19</v>
      </c>
      <c r="AO574" s="767" t="s">
        <v>1104</v>
      </c>
      <c r="AP574" s="767">
        <v>41</v>
      </c>
      <c r="AQ574" s="772">
        <v>26</v>
      </c>
      <c r="AR574" s="774">
        <v>18</v>
      </c>
      <c r="AS574" s="766">
        <v>71</v>
      </c>
      <c r="AT574" s="768">
        <v>106</v>
      </c>
      <c r="AU574" s="767">
        <v>4.71</v>
      </c>
      <c r="AV574" s="768">
        <v>34</v>
      </c>
      <c r="AW574" s="765">
        <v>488</v>
      </c>
      <c r="AX574" s="765">
        <v>2080</v>
      </c>
      <c r="AY574" s="765">
        <v>197</v>
      </c>
      <c r="AZ574" s="765">
        <v>3050</v>
      </c>
      <c r="BA574" s="765">
        <v>73.3</v>
      </c>
      <c r="BB574" s="765">
        <v>520</v>
      </c>
      <c r="BC574" s="765">
        <v>66.900000000000006</v>
      </c>
      <c r="BD574" s="765">
        <v>796</v>
      </c>
      <c r="BE574" s="767">
        <v>0.43587422300212603</v>
      </c>
      <c r="BF574" s="768">
        <v>447.4</v>
      </c>
      <c r="BG574" s="765">
        <v>1720</v>
      </c>
      <c r="BH574" s="765">
        <v>3670</v>
      </c>
      <c r="BI574" s="765">
        <v>31500</v>
      </c>
      <c r="BJ574" s="765">
        <v>43.6</v>
      </c>
      <c r="BK574" s="765">
        <v>591</v>
      </c>
      <c r="BL574" s="771">
        <v>1520</v>
      </c>
    </row>
    <row r="575" spans="35:64" x14ac:dyDescent="0.3">
      <c r="AI575" s="763" t="s">
        <v>1105</v>
      </c>
      <c r="AJ575" s="764">
        <v>11400</v>
      </c>
      <c r="AK575" s="765">
        <v>463</v>
      </c>
      <c r="AL575" s="765">
        <v>10.5</v>
      </c>
      <c r="AM575" s="767">
        <v>192</v>
      </c>
      <c r="AN575" s="765">
        <v>17.7</v>
      </c>
      <c r="AO575" s="767" t="s">
        <v>1106</v>
      </c>
      <c r="AP575" s="767">
        <v>39</v>
      </c>
      <c r="AQ575" s="765">
        <v>26</v>
      </c>
      <c r="AR575" s="774">
        <v>18</v>
      </c>
      <c r="AS575" s="766">
        <v>65</v>
      </c>
      <c r="AT575" s="768">
        <v>97</v>
      </c>
      <c r="AU575" s="767">
        <v>5.08</v>
      </c>
      <c r="AV575" s="768">
        <v>37.5</v>
      </c>
      <c r="AW575" s="765">
        <v>445</v>
      </c>
      <c r="AX575" s="765">
        <v>1910</v>
      </c>
      <c r="AY575" s="765">
        <v>196</v>
      </c>
      <c r="AZ575" s="765">
        <v>2670</v>
      </c>
      <c r="BA575" s="765">
        <v>63.3</v>
      </c>
      <c r="BB575" s="765">
        <v>452</v>
      </c>
      <c r="BC575" s="765">
        <v>66.3</v>
      </c>
      <c r="BD575" s="765">
        <v>691</v>
      </c>
      <c r="BE575" s="767">
        <v>0.43134318926760268</v>
      </c>
      <c r="BF575" s="768">
        <v>445.7</v>
      </c>
      <c r="BG575" s="765">
        <v>1180</v>
      </c>
      <c r="BH575" s="765">
        <v>3150</v>
      </c>
      <c r="BI575" s="765">
        <v>31200</v>
      </c>
      <c r="BJ575" s="765">
        <v>37.799999999999997</v>
      </c>
      <c r="BK575" s="765">
        <v>519</v>
      </c>
      <c r="BL575" s="771">
        <v>1330</v>
      </c>
    </row>
    <row r="576" spans="35:64" x14ac:dyDescent="0.3">
      <c r="AI576" s="763" t="s">
        <v>1107</v>
      </c>
      <c r="AJ576" s="764">
        <v>10400</v>
      </c>
      <c r="AK576" s="765">
        <v>460</v>
      </c>
      <c r="AL576" s="765">
        <v>9.9</v>
      </c>
      <c r="AM576" s="767">
        <v>191</v>
      </c>
      <c r="AN576" s="765">
        <v>16</v>
      </c>
      <c r="AO576" s="767" t="s">
        <v>1108</v>
      </c>
      <c r="AP576" s="767">
        <v>37</v>
      </c>
      <c r="AQ576" s="765">
        <v>22</v>
      </c>
      <c r="AR576" s="774">
        <v>18</v>
      </c>
      <c r="AS576" s="766">
        <v>60</v>
      </c>
      <c r="AT576" s="768">
        <v>89</v>
      </c>
      <c r="AU576" s="767">
        <v>5.42</v>
      </c>
      <c r="AV576" s="768">
        <v>40.700000000000003</v>
      </c>
      <c r="AW576" s="765">
        <v>410</v>
      </c>
      <c r="AX576" s="765">
        <v>1770</v>
      </c>
      <c r="AY576" s="765">
        <v>190</v>
      </c>
      <c r="AZ576" s="765">
        <v>2390</v>
      </c>
      <c r="BA576" s="765">
        <v>25.1</v>
      </c>
      <c r="BB576" s="765">
        <v>259</v>
      </c>
      <c r="BC576" s="765">
        <v>43.2</v>
      </c>
      <c r="BD576" s="765">
        <v>405</v>
      </c>
      <c r="BE576" s="767">
        <v>0.29240136734736588</v>
      </c>
      <c r="BF576" s="768">
        <v>448.4</v>
      </c>
      <c r="BG576" s="765">
        <v>1460</v>
      </c>
      <c r="BH576" s="765">
        <v>1260</v>
      </c>
      <c r="BI576" s="765">
        <v>21700</v>
      </c>
      <c r="BJ576" s="765">
        <v>21.7</v>
      </c>
      <c r="BK576" s="765">
        <v>419</v>
      </c>
      <c r="BL576" s="771">
        <v>1180</v>
      </c>
    </row>
    <row r="577" spans="35:64" x14ac:dyDescent="0.3">
      <c r="AI577" s="763" t="s">
        <v>1109</v>
      </c>
      <c r="AJ577" s="764">
        <v>9450</v>
      </c>
      <c r="AK577" s="765">
        <v>457</v>
      </c>
      <c r="AL577" s="765">
        <v>9</v>
      </c>
      <c r="AM577" s="773">
        <v>190</v>
      </c>
      <c r="AN577" s="765">
        <v>14.5</v>
      </c>
      <c r="AO577" s="767" t="s">
        <v>1110</v>
      </c>
      <c r="AP577" s="767">
        <v>36</v>
      </c>
      <c r="AQ577" s="765">
        <v>21</v>
      </c>
      <c r="AR577" s="774">
        <v>18</v>
      </c>
      <c r="AS577" s="766">
        <v>55</v>
      </c>
      <c r="AT577" s="768">
        <v>82</v>
      </c>
      <c r="AU577" s="767">
        <v>5.97</v>
      </c>
      <c r="AV577" s="768">
        <v>43.2</v>
      </c>
      <c r="AW577" s="765">
        <v>370</v>
      </c>
      <c r="AX577" s="765">
        <v>1610</v>
      </c>
      <c r="AY577" s="765">
        <v>190</v>
      </c>
      <c r="AZ577" s="765">
        <v>2180</v>
      </c>
      <c r="BA577" s="765">
        <v>22.8</v>
      </c>
      <c r="BB577" s="765">
        <v>237</v>
      </c>
      <c r="BC577" s="765">
        <v>43.1</v>
      </c>
      <c r="BD577" s="765">
        <v>368</v>
      </c>
      <c r="BE577" s="767">
        <v>0.29053150977657111</v>
      </c>
      <c r="BF577" s="768">
        <v>447</v>
      </c>
      <c r="BG577" s="765">
        <v>1130</v>
      </c>
      <c r="BH577" s="765">
        <v>1140</v>
      </c>
      <c r="BI577" s="765">
        <v>21600</v>
      </c>
      <c r="BJ577" s="765">
        <v>19.8</v>
      </c>
      <c r="BK577" s="765">
        <v>386</v>
      </c>
      <c r="BL577" s="771">
        <v>1080</v>
      </c>
    </row>
    <row r="578" spans="35:64" x14ac:dyDescent="0.3">
      <c r="AI578" s="763" t="s">
        <v>1111</v>
      </c>
      <c r="AJ578" s="764">
        <v>8560</v>
      </c>
      <c r="AK578" s="765">
        <v>454</v>
      </c>
      <c r="AL578" s="765">
        <v>8.5</v>
      </c>
      <c r="AM578" s="773">
        <v>190</v>
      </c>
      <c r="AN578" s="765">
        <v>12.7</v>
      </c>
      <c r="AO578" s="773" t="s">
        <v>1112</v>
      </c>
      <c r="AP578" s="773">
        <v>34</v>
      </c>
      <c r="AQ578" s="765">
        <v>20</v>
      </c>
      <c r="AR578" s="774">
        <v>18</v>
      </c>
      <c r="AS578" s="766">
        <v>50</v>
      </c>
      <c r="AT578" s="768">
        <v>74</v>
      </c>
      <c r="AU578" s="767">
        <v>6.55</v>
      </c>
      <c r="AV578" s="768">
        <v>47.6</v>
      </c>
      <c r="AW578" s="765">
        <v>333</v>
      </c>
      <c r="AX578" s="765">
        <v>1460</v>
      </c>
      <c r="AY578" s="765">
        <v>190</v>
      </c>
      <c r="AZ578" s="765">
        <v>2010</v>
      </c>
      <c r="BA578" s="765">
        <v>20.9</v>
      </c>
      <c r="BB578" s="765">
        <v>218</v>
      </c>
      <c r="BC578" s="765">
        <v>42.9</v>
      </c>
      <c r="BD578" s="765">
        <v>339</v>
      </c>
      <c r="BE578" s="767">
        <v>0.28860793881264218</v>
      </c>
      <c r="BF578" s="768">
        <v>445.3</v>
      </c>
      <c r="BG578" s="765">
        <v>907</v>
      </c>
      <c r="BH578" s="765">
        <v>1040</v>
      </c>
      <c r="BI578" s="765">
        <v>21400</v>
      </c>
      <c r="BJ578" s="765">
        <v>18.2</v>
      </c>
      <c r="BK578" s="765">
        <v>358</v>
      </c>
      <c r="BL578" s="771">
        <v>997</v>
      </c>
    </row>
    <row r="579" spans="35:64" x14ac:dyDescent="0.3">
      <c r="AI579" s="763" t="s">
        <v>1113</v>
      </c>
      <c r="AJ579" s="764">
        <v>7640</v>
      </c>
      <c r="AK579" s="765">
        <v>450</v>
      </c>
      <c r="AL579" s="765">
        <v>8.1</v>
      </c>
      <c r="AM579" s="765">
        <v>189</v>
      </c>
      <c r="AN579" s="765">
        <v>10.8</v>
      </c>
      <c r="AO579" s="767" t="s">
        <v>1114</v>
      </c>
      <c r="AP579" s="767">
        <v>33</v>
      </c>
      <c r="AQ579" s="765">
        <v>20</v>
      </c>
      <c r="AR579" s="774">
        <v>18</v>
      </c>
      <c r="AS579" s="766">
        <v>45</v>
      </c>
      <c r="AT579" s="768">
        <v>67</v>
      </c>
      <c r="AU579" s="767">
        <v>7.48</v>
      </c>
      <c r="AV579" s="768">
        <v>50.4</v>
      </c>
      <c r="AW579" s="765">
        <v>295</v>
      </c>
      <c r="AX579" s="765">
        <v>1300</v>
      </c>
      <c r="AY579" s="765">
        <v>188</v>
      </c>
      <c r="AZ579" s="765">
        <v>1830</v>
      </c>
      <c r="BA579" s="765">
        <v>18.600000000000001</v>
      </c>
      <c r="BB579" s="765">
        <v>195</v>
      </c>
      <c r="BC579" s="765">
        <v>42.2</v>
      </c>
      <c r="BD579" s="765">
        <v>303</v>
      </c>
      <c r="BE579" s="767">
        <v>0.28488918862732798</v>
      </c>
      <c r="BF579" s="768">
        <v>444</v>
      </c>
      <c r="BG579" s="765">
        <v>691</v>
      </c>
      <c r="BH579" s="765">
        <v>918</v>
      </c>
      <c r="BI579" s="765">
        <v>21200</v>
      </c>
      <c r="BJ579" s="765">
        <v>16.2</v>
      </c>
      <c r="BK579" s="765">
        <v>322</v>
      </c>
      <c r="BL579" s="771">
        <v>905</v>
      </c>
    </row>
    <row r="580" spans="35:64" x14ac:dyDescent="0.3">
      <c r="AI580" s="763" t="s">
        <v>1115</v>
      </c>
      <c r="AJ580" s="764">
        <v>8730</v>
      </c>
      <c r="AK580" s="765">
        <v>459</v>
      </c>
      <c r="AL580" s="765">
        <v>9.1</v>
      </c>
      <c r="AM580" s="765">
        <v>154</v>
      </c>
      <c r="AN580" s="765">
        <v>15.4</v>
      </c>
      <c r="AO580" s="773" t="s">
        <v>1116</v>
      </c>
      <c r="AP580" s="773">
        <v>31</v>
      </c>
      <c r="AQ580" s="765">
        <v>20</v>
      </c>
      <c r="AR580" s="774">
        <v>18</v>
      </c>
      <c r="AS580" s="766">
        <v>41</v>
      </c>
      <c r="AT580" s="765">
        <v>61</v>
      </c>
      <c r="AU580" s="767">
        <v>8.75</v>
      </c>
      <c r="AV580" s="768">
        <v>52.9</v>
      </c>
      <c r="AW580" s="765">
        <v>254</v>
      </c>
      <c r="AX580" s="765">
        <v>1130</v>
      </c>
      <c r="AY580" s="765">
        <v>188</v>
      </c>
      <c r="AZ580" s="765">
        <v>1650</v>
      </c>
      <c r="BA580" s="765">
        <v>16.600000000000001</v>
      </c>
      <c r="BB580" s="765">
        <v>175</v>
      </c>
      <c r="BC580" s="765">
        <v>41.9</v>
      </c>
      <c r="BD580" s="765">
        <v>271</v>
      </c>
      <c r="BE580" s="767">
        <v>0.28208060765991883</v>
      </c>
      <c r="BF580" s="768">
        <v>442.5</v>
      </c>
      <c r="BG580" s="765">
        <v>517</v>
      </c>
      <c r="BH580" s="765">
        <v>813</v>
      </c>
      <c r="BI580" s="765">
        <v>21000</v>
      </c>
      <c r="BJ580" s="765">
        <v>14.5</v>
      </c>
      <c r="BK580" s="765">
        <v>290</v>
      </c>
      <c r="BL580" s="771">
        <v>816</v>
      </c>
    </row>
    <row r="581" spans="35:64" x14ac:dyDescent="0.3">
      <c r="AI581" s="763" t="s">
        <v>1117</v>
      </c>
      <c r="AJ581" s="764">
        <v>7590</v>
      </c>
      <c r="AK581" s="765">
        <v>455</v>
      </c>
      <c r="AL581" s="765">
        <v>8</v>
      </c>
      <c r="AM581" s="765">
        <v>153</v>
      </c>
      <c r="AN581" s="765">
        <v>13.3</v>
      </c>
      <c r="AO581" s="773" t="s">
        <v>1118</v>
      </c>
      <c r="AP581" s="773">
        <v>29</v>
      </c>
      <c r="AQ581" s="765">
        <v>19</v>
      </c>
      <c r="AR581" s="774">
        <v>18</v>
      </c>
      <c r="AS581" s="766">
        <v>46</v>
      </c>
      <c r="AT581" s="768">
        <v>68</v>
      </c>
      <c r="AU581" s="767">
        <v>5</v>
      </c>
      <c r="AV581" s="768">
        <v>47.1</v>
      </c>
      <c r="AW581" s="765">
        <v>297</v>
      </c>
      <c r="AX581" s="765">
        <v>1290</v>
      </c>
      <c r="AY581" s="765">
        <v>186</v>
      </c>
      <c r="AZ581" s="765">
        <v>1470</v>
      </c>
      <c r="BA581" s="765">
        <v>14.5</v>
      </c>
      <c r="BB581" s="765">
        <v>153</v>
      </c>
      <c r="BC581" s="765">
        <v>41.2</v>
      </c>
      <c r="BD581" s="765">
        <v>238</v>
      </c>
      <c r="BE581" s="767">
        <v>0.27917635894499859</v>
      </c>
      <c r="BF581" s="768">
        <v>441.3</v>
      </c>
      <c r="BG581" s="765">
        <v>372</v>
      </c>
      <c r="BH581" s="765">
        <v>708</v>
      </c>
      <c r="BI581" s="765">
        <v>21000</v>
      </c>
      <c r="BJ581" s="765">
        <v>12.6</v>
      </c>
      <c r="BK581" s="765">
        <v>254</v>
      </c>
      <c r="BL581" s="771">
        <v>728</v>
      </c>
    </row>
    <row r="582" spans="35:64" x14ac:dyDescent="0.3">
      <c r="AI582" s="763" t="s">
        <v>1119</v>
      </c>
      <c r="AJ582" s="764">
        <v>6630</v>
      </c>
      <c r="AK582" s="765">
        <v>450</v>
      </c>
      <c r="AL582" s="765">
        <v>7.6</v>
      </c>
      <c r="AM582" s="765">
        <v>152</v>
      </c>
      <c r="AN582" s="765">
        <v>10.8</v>
      </c>
      <c r="AO582" s="767" t="s">
        <v>1120</v>
      </c>
      <c r="AP582" s="767">
        <v>28</v>
      </c>
      <c r="AQ582" s="769">
        <v>19</v>
      </c>
      <c r="AR582" s="770">
        <v>18</v>
      </c>
      <c r="AS582" s="766">
        <v>40</v>
      </c>
      <c r="AT582" s="768">
        <v>60</v>
      </c>
      <c r="AU582" s="767">
        <v>5.75</v>
      </c>
      <c r="AV582" s="768">
        <v>53.6</v>
      </c>
      <c r="AW582" s="765">
        <v>255</v>
      </c>
      <c r="AX582" s="765">
        <v>1120</v>
      </c>
      <c r="AY582" s="765">
        <v>182</v>
      </c>
      <c r="AZ582" s="765">
        <v>1290</v>
      </c>
      <c r="BA582" s="765">
        <v>12.2</v>
      </c>
      <c r="BB582" s="765">
        <v>129</v>
      </c>
      <c r="BC582" s="765">
        <v>39.9</v>
      </c>
      <c r="BD582" s="765">
        <v>200</v>
      </c>
      <c r="BE582" s="767">
        <v>0.27365933119468899</v>
      </c>
      <c r="BF582" s="768">
        <v>439.2</v>
      </c>
      <c r="BG582" s="765">
        <v>256</v>
      </c>
      <c r="BH582" s="765">
        <v>587</v>
      </c>
      <c r="BI582" s="765">
        <v>20800</v>
      </c>
      <c r="BJ582" s="765">
        <v>10.6</v>
      </c>
      <c r="BK582" s="765">
        <v>215</v>
      </c>
      <c r="BL582" s="771">
        <v>634</v>
      </c>
    </row>
    <row r="583" spans="35:64" x14ac:dyDescent="0.3">
      <c r="AI583" s="763" t="s">
        <v>1121</v>
      </c>
      <c r="AJ583" s="764">
        <v>19200</v>
      </c>
      <c r="AK583" s="765">
        <v>431</v>
      </c>
      <c r="AL583" s="765">
        <v>14.9</v>
      </c>
      <c r="AM583" s="765">
        <v>265</v>
      </c>
      <c r="AN583" s="765">
        <v>25</v>
      </c>
      <c r="AO583" s="767" t="s">
        <v>1122</v>
      </c>
      <c r="AP583" s="767">
        <v>32</v>
      </c>
      <c r="AQ583" s="769">
        <v>20</v>
      </c>
      <c r="AR583" s="770">
        <v>18</v>
      </c>
      <c r="AS583" s="766">
        <v>35</v>
      </c>
      <c r="AT583" s="768">
        <v>52</v>
      </c>
      <c r="AU583" s="767">
        <v>7.04</v>
      </c>
      <c r="AV583" s="768">
        <v>56.4</v>
      </c>
      <c r="AW583" s="765">
        <v>212</v>
      </c>
      <c r="AX583" s="765">
        <v>943</v>
      </c>
      <c r="AY583" s="765">
        <v>184</v>
      </c>
      <c r="AZ583" s="765">
        <v>1490</v>
      </c>
      <c r="BA583" s="765">
        <v>9.41</v>
      </c>
      <c r="BB583" s="765">
        <v>122</v>
      </c>
      <c r="BC583" s="765">
        <v>32.799999999999997</v>
      </c>
      <c r="BD583" s="765">
        <v>192</v>
      </c>
      <c r="BE583" s="767">
        <v>0.22620270730065919</v>
      </c>
      <c r="BF583" s="768">
        <v>443.6</v>
      </c>
      <c r="BG583" s="765">
        <v>509</v>
      </c>
      <c r="BH583" s="765">
        <v>463</v>
      </c>
      <c r="BI583" s="765">
        <v>17100</v>
      </c>
      <c r="BJ583" s="765">
        <v>10.1</v>
      </c>
      <c r="BK583" s="765">
        <v>247</v>
      </c>
      <c r="BL583" s="771">
        <v>735</v>
      </c>
    </row>
    <row r="584" spans="35:64" x14ac:dyDescent="0.3">
      <c r="AI584" s="763" t="s">
        <v>1123</v>
      </c>
      <c r="AJ584" s="764">
        <v>17000</v>
      </c>
      <c r="AK584" s="765">
        <v>425</v>
      </c>
      <c r="AL584" s="765">
        <v>13.3</v>
      </c>
      <c r="AM584" s="765">
        <v>263</v>
      </c>
      <c r="AN584" s="765">
        <v>22.2</v>
      </c>
      <c r="AO584" s="767" t="s">
        <v>1124</v>
      </c>
      <c r="AP584" s="767">
        <v>30</v>
      </c>
      <c r="AQ584" s="769">
        <v>19</v>
      </c>
      <c r="AR584" s="770">
        <v>18</v>
      </c>
      <c r="AS584" s="766">
        <v>100</v>
      </c>
      <c r="AT584" s="768">
        <v>149</v>
      </c>
      <c r="AU584" s="767">
        <v>5.3</v>
      </c>
      <c r="AV584" s="768">
        <v>25.6</v>
      </c>
      <c r="AW584" s="765">
        <v>625</v>
      </c>
      <c r="AX584" s="765">
        <v>2900</v>
      </c>
      <c r="AY584" s="765">
        <v>183</v>
      </c>
      <c r="AZ584" s="765">
        <v>1280</v>
      </c>
      <c r="BA584" s="765">
        <v>7.96</v>
      </c>
      <c r="BB584" s="765">
        <v>104</v>
      </c>
      <c r="BC584" s="765">
        <v>32.4</v>
      </c>
      <c r="BD584" s="765">
        <v>163</v>
      </c>
      <c r="BE584" s="767">
        <v>0.22275485942367401</v>
      </c>
      <c r="BF584" s="768">
        <v>441.7</v>
      </c>
      <c r="BG584" s="765">
        <v>335</v>
      </c>
      <c r="BH584" s="765">
        <v>388</v>
      </c>
      <c r="BI584" s="765">
        <v>16900</v>
      </c>
      <c r="BJ584" s="765">
        <v>8.59</v>
      </c>
      <c r="BK584" s="765">
        <v>213</v>
      </c>
      <c r="BL584" s="771">
        <v>633</v>
      </c>
    </row>
    <row r="585" spans="35:64" x14ac:dyDescent="0.3">
      <c r="AI585" s="763" t="s">
        <v>1125</v>
      </c>
      <c r="AJ585" s="764">
        <v>14800</v>
      </c>
      <c r="AK585" s="765">
        <v>420</v>
      </c>
      <c r="AL585" s="765">
        <v>11.6</v>
      </c>
      <c r="AM585" s="765">
        <v>261</v>
      </c>
      <c r="AN585" s="765">
        <v>19.3</v>
      </c>
      <c r="AO585" s="767" t="s">
        <v>1126</v>
      </c>
      <c r="AP585" s="767">
        <v>28</v>
      </c>
      <c r="AQ585" s="769">
        <v>19</v>
      </c>
      <c r="AR585" s="770">
        <v>18</v>
      </c>
      <c r="AS585" s="766">
        <v>89</v>
      </c>
      <c r="AT585" s="768">
        <v>132</v>
      </c>
      <c r="AU585" s="767">
        <v>5.92</v>
      </c>
      <c r="AV585" s="768">
        <v>28.6</v>
      </c>
      <c r="AW585" s="765">
        <v>545</v>
      </c>
      <c r="AX585" s="765">
        <v>2560</v>
      </c>
      <c r="AY585" s="765">
        <v>179</v>
      </c>
      <c r="AZ585" s="765">
        <v>1090</v>
      </c>
      <c r="BA585" s="765">
        <v>6.34</v>
      </c>
      <c r="BB585" s="765">
        <v>83.4</v>
      </c>
      <c r="BC585" s="765">
        <v>30.9</v>
      </c>
      <c r="BD585" s="765">
        <v>131</v>
      </c>
      <c r="BE585" s="767">
        <v>0.21612092851617251</v>
      </c>
      <c r="BF585" s="768">
        <v>439.2</v>
      </c>
      <c r="BG585" s="765">
        <v>210</v>
      </c>
      <c r="BH585" s="765">
        <v>306</v>
      </c>
      <c r="BI585" s="765">
        <v>16700</v>
      </c>
      <c r="BJ585" s="765">
        <v>6.85</v>
      </c>
      <c r="BK585" s="765">
        <v>171</v>
      </c>
      <c r="BL585" s="771">
        <v>535</v>
      </c>
    </row>
    <row r="586" spans="35:64" x14ac:dyDescent="0.3">
      <c r="AI586" s="763" t="s">
        <v>1127</v>
      </c>
      <c r="AJ586" s="764">
        <v>12900</v>
      </c>
      <c r="AK586" s="765">
        <v>415</v>
      </c>
      <c r="AL586" s="765">
        <v>10</v>
      </c>
      <c r="AM586" s="765">
        <v>260</v>
      </c>
      <c r="AN586" s="765">
        <v>16.899999999999999</v>
      </c>
      <c r="AO586" s="767" t="s">
        <v>1128</v>
      </c>
      <c r="AP586" s="767">
        <v>47</v>
      </c>
      <c r="AQ586" s="769">
        <v>28</v>
      </c>
      <c r="AR586" s="770">
        <v>16</v>
      </c>
      <c r="AS586" s="766">
        <v>77</v>
      </c>
      <c r="AT586" s="768">
        <v>114</v>
      </c>
      <c r="AU586" s="767">
        <v>6.76</v>
      </c>
      <c r="AV586" s="768">
        <v>32.9</v>
      </c>
      <c r="AW586" s="765">
        <v>468</v>
      </c>
      <c r="AX586" s="765">
        <v>2230</v>
      </c>
      <c r="AY586" s="765">
        <v>180</v>
      </c>
      <c r="AZ586" s="765">
        <v>3280</v>
      </c>
      <c r="BA586" s="765">
        <v>77.7</v>
      </c>
      <c r="BB586" s="765">
        <v>586</v>
      </c>
      <c r="BC586" s="765">
        <v>63.6</v>
      </c>
      <c r="BD586" s="765">
        <v>902</v>
      </c>
      <c r="BE586" s="767">
        <v>0.41466153432936759</v>
      </c>
      <c r="BF586" s="768">
        <v>406</v>
      </c>
      <c r="BG586" s="765">
        <v>3420</v>
      </c>
      <c r="BH586" s="765">
        <v>3200</v>
      </c>
      <c r="BI586" s="765">
        <v>26900</v>
      </c>
      <c r="BJ586" s="765">
        <v>44.5</v>
      </c>
      <c r="BK586" s="765">
        <v>635</v>
      </c>
      <c r="BL586" s="771">
        <v>1620</v>
      </c>
    </row>
    <row r="587" spans="35:64" x14ac:dyDescent="0.3">
      <c r="AI587" s="763" t="s">
        <v>1129</v>
      </c>
      <c r="AJ587" s="764">
        <v>10800</v>
      </c>
      <c r="AK587" s="765">
        <v>417</v>
      </c>
      <c r="AL587" s="765">
        <v>10.9</v>
      </c>
      <c r="AM587" s="765">
        <v>181</v>
      </c>
      <c r="AN587" s="765">
        <v>18.2</v>
      </c>
      <c r="AO587" s="767" t="s">
        <v>1130</v>
      </c>
      <c r="AP587" s="767">
        <v>44</v>
      </c>
      <c r="AQ587" s="769">
        <v>27</v>
      </c>
      <c r="AR587" s="770">
        <v>16</v>
      </c>
      <c r="AS587" s="766">
        <v>67</v>
      </c>
      <c r="AT587" s="768">
        <v>100</v>
      </c>
      <c r="AU587" s="767">
        <v>7.69</v>
      </c>
      <c r="AV587" s="768">
        <v>38.1</v>
      </c>
      <c r="AW587" s="765">
        <v>404</v>
      </c>
      <c r="AX587" s="765">
        <v>1950</v>
      </c>
      <c r="AY587" s="765">
        <v>179</v>
      </c>
      <c r="AZ587" s="765">
        <v>2890</v>
      </c>
      <c r="BA587" s="765">
        <v>67.400000000000006</v>
      </c>
      <c r="BB587" s="765">
        <v>513</v>
      </c>
      <c r="BC587" s="765">
        <v>62.9</v>
      </c>
      <c r="BD587" s="765">
        <v>788</v>
      </c>
      <c r="BE587" s="767">
        <v>0.40934138366091649</v>
      </c>
      <c r="BF587" s="768">
        <v>402.8</v>
      </c>
      <c r="BG587" s="765">
        <v>2410</v>
      </c>
      <c r="BH587" s="765">
        <v>2730</v>
      </c>
      <c r="BI587" s="765">
        <v>26500</v>
      </c>
      <c r="BJ587" s="765">
        <v>38.700000000000003</v>
      </c>
      <c r="BK587" s="765">
        <v>558</v>
      </c>
      <c r="BL587" s="771">
        <v>1420</v>
      </c>
    </row>
    <row r="588" spans="35:64" x14ac:dyDescent="0.3">
      <c r="AI588" s="763" t="s">
        <v>1131</v>
      </c>
      <c r="AJ588" s="764">
        <v>9550</v>
      </c>
      <c r="AK588" s="765">
        <v>413</v>
      </c>
      <c r="AL588" s="765">
        <v>9.6999999999999993</v>
      </c>
      <c r="AM588" s="765">
        <v>180</v>
      </c>
      <c r="AN588" s="765">
        <v>16</v>
      </c>
      <c r="AO588" s="773" t="s">
        <v>1132</v>
      </c>
      <c r="AP588" s="773">
        <v>41</v>
      </c>
      <c r="AQ588" s="769">
        <v>26</v>
      </c>
      <c r="AR588" s="770">
        <v>16</v>
      </c>
      <c r="AS588" s="766">
        <v>57</v>
      </c>
      <c r="AT588" s="768">
        <v>85</v>
      </c>
      <c r="AU588" s="767">
        <v>4.97</v>
      </c>
      <c r="AV588" s="768">
        <v>34.9</v>
      </c>
      <c r="AW588" s="765">
        <v>315</v>
      </c>
      <c r="AX588" s="765">
        <v>1510</v>
      </c>
      <c r="AY588" s="765">
        <v>178</v>
      </c>
      <c r="AZ588" s="765">
        <v>2490</v>
      </c>
      <c r="BA588" s="765">
        <v>57.3</v>
      </c>
      <c r="BB588" s="765">
        <v>439</v>
      </c>
      <c r="BC588" s="765">
        <v>62.3</v>
      </c>
      <c r="BD588" s="765">
        <v>673</v>
      </c>
      <c r="BE588" s="767">
        <v>0.40347644252360793</v>
      </c>
      <c r="BF588" s="768">
        <v>400.7</v>
      </c>
      <c r="BG588" s="765">
        <v>1610</v>
      </c>
      <c r="BH588" s="765">
        <v>2300</v>
      </c>
      <c r="BI588" s="765">
        <v>26100</v>
      </c>
      <c r="BJ588" s="765">
        <v>32.9</v>
      </c>
      <c r="BK588" s="765">
        <v>482</v>
      </c>
      <c r="BL588" s="771">
        <v>1220</v>
      </c>
    </row>
    <row r="589" spans="35:64" x14ac:dyDescent="0.3">
      <c r="AI589" s="763" t="s">
        <v>1133</v>
      </c>
      <c r="AJ589" s="764">
        <v>8600</v>
      </c>
      <c r="AK589" s="765">
        <v>410</v>
      </c>
      <c r="AL589" s="765">
        <v>8.8000000000000007</v>
      </c>
      <c r="AM589" s="765">
        <v>179</v>
      </c>
      <c r="AN589" s="765">
        <v>14.4</v>
      </c>
      <c r="AO589" s="773" t="s">
        <v>1134</v>
      </c>
      <c r="AP589" s="773">
        <v>39</v>
      </c>
      <c r="AQ589" s="769">
        <v>25</v>
      </c>
      <c r="AR589" s="770">
        <v>16</v>
      </c>
      <c r="AS589" s="766">
        <v>50</v>
      </c>
      <c r="AT589" s="768">
        <v>74</v>
      </c>
      <c r="AU589" s="767">
        <v>5.63</v>
      </c>
      <c r="AV589" s="768">
        <v>39.299999999999997</v>
      </c>
      <c r="AW589" s="765">
        <v>275</v>
      </c>
      <c r="AX589" s="765">
        <v>1330</v>
      </c>
      <c r="AY589" s="765">
        <v>177</v>
      </c>
      <c r="AZ589" s="765">
        <v>2160</v>
      </c>
      <c r="BA589" s="765">
        <v>49.6</v>
      </c>
      <c r="BB589" s="765">
        <v>381</v>
      </c>
      <c r="BC589" s="765">
        <v>62</v>
      </c>
      <c r="BD589" s="765">
        <v>583</v>
      </c>
      <c r="BE589" s="767">
        <v>0.39986844267255572</v>
      </c>
      <c r="BF589" s="768">
        <v>398.1</v>
      </c>
      <c r="BG589" s="765">
        <v>1090</v>
      </c>
      <c r="BH589" s="765">
        <v>1960</v>
      </c>
      <c r="BI589" s="765">
        <v>25900</v>
      </c>
      <c r="BJ589" s="765">
        <v>28.4</v>
      </c>
      <c r="BK589" s="765">
        <v>420</v>
      </c>
      <c r="BL589" s="771">
        <v>1060</v>
      </c>
    </row>
    <row r="590" spans="35:64" x14ac:dyDescent="0.3">
      <c r="AI590" s="763" t="s">
        <v>1135</v>
      </c>
      <c r="AJ590" s="764">
        <v>7580</v>
      </c>
      <c r="AK590" s="765">
        <v>407</v>
      </c>
      <c r="AL590" s="765">
        <v>7.7</v>
      </c>
      <c r="AM590" s="765">
        <v>178</v>
      </c>
      <c r="AN590" s="765">
        <v>12.8</v>
      </c>
      <c r="AO590" s="773" t="s">
        <v>1136</v>
      </c>
      <c r="AP590" s="773">
        <v>35</v>
      </c>
      <c r="AQ590" s="769">
        <v>21</v>
      </c>
      <c r="AR590" s="770">
        <v>16</v>
      </c>
      <c r="AS590" s="766">
        <v>45</v>
      </c>
      <c r="AT590" s="768">
        <v>67</v>
      </c>
      <c r="AU590" s="767">
        <v>6.22</v>
      </c>
      <c r="AV590" s="768">
        <v>43.3</v>
      </c>
      <c r="AW590" s="765">
        <v>246</v>
      </c>
      <c r="AX590" s="765">
        <v>1200</v>
      </c>
      <c r="AY590" s="765">
        <v>171</v>
      </c>
      <c r="AZ590" s="765">
        <v>1730</v>
      </c>
      <c r="BA590" s="765">
        <v>18</v>
      </c>
      <c r="BB590" s="765">
        <v>199</v>
      </c>
      <c r="BC590" s="765">
        <v>40.799999999999997</v>
      </c>
      <c r="BD590" s="765">
        <v>310</v>
      </c>
      <c r="BE590" s="767">
        <v>0.27428966340719507</v>
      </c>
      <c r="BF590" s="768">
        <v>398.8</v>
      </c>
      <c r="BG590" s="765">
        <v>926</v>
      </c>
      <c r="BH590" s="765">
        <v>717</v>
      </c>
      <c r="BI590" s="765">
        <v>18000</v>
      </c>
      <c r="BJ590" s="765">
        <v>14.9</v>
      </c>
      <c r="BK590" s="765">
        <v>309</v>
      </c>
      <c r="BL590" s="771">
        <v>854</v>
      </c>
    </row>
    <row r="591" spans="35:64" x14ac:dyDescent="0.3">
      <c r="AI591" s="763" t="s">
        <v>1137</v>
      </c>
      <c r="AJ591" s="764">
        <v>6810</v>
      </c>
      <c r="AK591" s="765">
        <v>403</v>
      </c>
      <c r="AL591" s="765">
        <v>7.5</v>
      </c>
      <c r="AM591" s="765">
        <v>177</v>
      </c>
      <c r="AN591" s="765">
        <v>10.9</v>
      </c>
      <c r="AO591" s="773" t="s">
        <v>1138</v>
      </c>
      <c r="AP591" s="773">
        <v>33</v>
      </c>
      <c r="AQ591" s="769">
        <v>20</v>
      </c>
      <c r="AR591" s="770">
        <v>16</v>
      </c>
      <c r="AS591" s="766">
        <v>40</v>
      </c>
      <c r="AT591" s="765">
        <v>60</v>
      </c>
      <c r="AU591" s="767">
        <v>6.95</v>
      </c>
      <c r="AV591" s="767">
        <v>49.5</v>
      </c>
      <c r="AW591" s="765">
        <v>216</v>
      </c>
      <c r="AX591" s="765">
        <v>1060</v>
      </c>
      <c r="AY591" s="765">
        <v>170</v>
      </c>
      <c r="AZ591" s="765">
        <v>1510</v>
      </c>
      <c r="BA591" s="765">
        <v>15.6</v>
      </c>
      <c r="BB591" s="765">
        <v>173</v>
      </c>
      <c r="BC591" s="765">
        <v>40.4</v>
      </c>
      <c r="BD591" s="765">
        <v>269</v>
      </c>
      <c r="BE591" s="767">
        <v>0.27126728571836423</v>
      </c>
      <c r="BF591" s="768">
        <v>397</v>
      </c>
      <c r="BG591" s="765">
        <v>637</v>
      </c>
      <c r="BH591" s="765">
        <v>614</v>
      </c>
      <c r="BI591" s="765">
        <v>17900</v>
      </c>
      <c r="BJ591" s="765">
        <v>12.9</v>
      </c>
      <c r="BK591" s="765">
        <v>270</v>
      </c>
      <c r="BL591" s="771">
        <v>748</v>
      </c>
    </row>
    <row r="592" spans="35:64" x14ac:dyDescent="0.3">
      <c r="AI592" s="763" t="s">
        <v>1139</v>
      </c>
      <c r="AJ592" s="764">
        <v>5890</v>
      </c>
      <c r="AK592" s="765">
        <v>403</v>
      </c>
      <c r="AL592" s="765">
        <v>7</v>
      </c>
      <c r="AM592" s="765">
        <v>140</v>
      </c>
      <c r="AN592" s="765">
        <v>11.2</v>
      </c>
      <c r="AO592" s="773" t="s">
        <v>1140</v>
      </c>
      <c r="AP592" s="773">
        <v>31</v>
      </c>
      <c r="AQ592" s="769">
        <v>20</v>
      </c>
      <c r="AR592" s="770">
        <v>16</v>
      </c>
      <c r="AS592" s="766">
        <v>36</v>
      </c>
      <c r="AT592" s="765">
        <v>54</v>
      </c>
      <c r="AU592" s="767">
        <v>8.1199999999999992</v>
      </c>
      <c r="AV592" s="767">
        <v>50.8</v>
      </c>
      <c r="AW592" s="765">
        <v>186</v>
      </c>
      <c r="AX592" s="765">
        <v>924</v>
      </c>
      <c r="AY592" s="765">
        <v>169</v>
      </c>
      <c r="AZ592" s="765">
        <v>1360</v>
      </c>
      <c r="BA592" s="765">
        <v>13.8</v>
      </c>
      <c r="BB592" s="765">
        <v>154</v>
      </c>
      <c r="BC592" s="765">
        <v>40</v>
      </c>
      <c r="BD592" s="765">
        <v>239</v>
      </c>
      <c r="BE592" s="767">
        <v>0.26821161952773559</v>
      </c>
      <c r="BF592" s="768">
        <v>395.6</v>
      </c>
      <c r="BG592" s="765">
        <v>469</v>
      </c>
      <c r="BH592" s="765">
        <v>540</v>
      </c>
      <c r="BI592" s="765">
        <v>17700</v>
      </c>
      <c r="BJ592" s="765">
        <v>11.4</v>
      </c>
      <c r="BK592" s="765">
        <v>242</v>
      </c>
      <c r="BL592" s="771">
        <v>670</v>
      </c>
    </row>
    <row r="593" spans="35:64" x14ac:dyDescent="0.3">
      <c r="AI593" s="763" t="s">
        <v>1141</v>
      </c>
      <c r="AJ593" s="764">
        <v>4990</v>
      </c>
      <c r="AK593" s="765">
        <v>399</v>
      </c>
      <c r="AL593" s="765">
        <v>6.4</v>
      </c>
      <c r="AM593" s="765">
        <v>140</v>
      </c>
      <c r="AN593" s="765">
        <v>8.8000000000000007</v>
      </c>
      <c r="AO593" s="767" t="s">
        <v>1142</v>
      </c>
      <c r="AP593" s="767">
        <v>30</v>
      </c>
      <c r="AQ593" s="769">
        <v>19</v>
      </c>
      <c r="AR593" s="769">
        <v>16</v>
      </c>
      <c r="AS593" s="766">
        <v>31</v>
      </c>
      <c r="AT593" s="765">
        <v>46</v>
      </c>
      <c r="AU593" s="767">
        <v>6.25</v>
      </c>
      <c r="AV593" s="767">
        <v>54.4</v>
      </c>
      <c r="AW593" s="765">
        <v>156</v>
      </c>
      <c r="AX593" s="765">
        <v>773</v>
      </c>
      <c r="AY593" s="765">
        <v>169</v>
      </c>
      <c r="AZ593" s="765">
        <v>1190</v>
      </c>
      <c r="BA593" s="765">
        <v>12</v>
      </c>
      <c r="BB593" s="765">
        <v>135</v>
      </c>
      <c r="BC593" s="765">
        <v>39.9</v>
      </c>
      <c r="BD593" s="765">
        <v>209</v>
      </c>
      <c r="BE593" s="767">
        <v>0.2658911253650757</v>
      </c>
      <c r="BF593" s="768">
        <v>394.2</v>
      </c>
      <c r="BG593" s="765">
        <v>328</v>
      </c>
      <c r="BH593" s="765">
        <v>468</v>
      </c>
      <c r="BI593" s="765">
        <v>17500</v>
      </c>
      <c r="BJ593" s="765">
        <v>9.99</v>
      </c>
      <c r="BK593" s="765">
        <v>215</v>
      </c>
      <c r="BL593" s="771">
        <v>589</v>
      </c>
    </row>
    <row r="594" spans="35:64" x14ac:dyDescent="0.3">
      <c r="AI594" s="763" t="s">
        <v>1143</v>
      </c>
      <c r="AJ594" s="764">
        <v>139000</v>
      </c>
      <c r="AK594" s="765">
        <v>569</v>
      </c>
      <c r="AL594" s="765">
        <v>78</v>
      </c>
      <c r="AM594" s="765">
        <v>454</v>
      </c>
      <c r="AN594" s="765">
        <v>125</v>
      </c>
      <c r="AO594" s="767" t="s">
        <v>1144</v>
      </c>
      <c r="AP594" s="767">
        <v>28</v>
      </c>
      <c r="AQ594" s="774">
        <v>19</v>
      </c>
      <c r="AR594" s="769">
        <v>16</v>
      </c>
      <c r="AS594" s="766">
        <v>26</v>
      </c>
      <c r="AT594" s="765">
        <v>39</v>
      </c>
      <c r="AU594" s="767">
        <v>7.95</v>
      </c>
      <c r="AV594" s="767">
        <v>59.6</v>
      </c>
      <c r="AW594" s="765">
        <v>127</v>
      </c>
      <c r="AX594" s="765">
        <v>634</v>
      </c>
      <c r="AY594" s="765">
        <v>165</v>
      </c>
      <c r="AZ594" s="765">
        <v>1050</v>
      </c>
      <c r="BA594" s="765">
        <v>10.1</v>
      </c>
      <c r="BB594" s="765">
        <v>114</v>
      </c>
      <c r="BC594" s="765">
        <v>38.5</v>
      </c>
      <c r="BD594" s="765">
        <v>177</v>
      </c>
      <c r="BE594" s="767">
        <v>0.26028688694429908</v>
      </c>
      <c r="BF594" s="768">
        <v>392.1</v>
      </c>
      <c r="BG594" s="765">
        <v>226</v>
      </c>
      <c r="BH594" s="765">
        <v>388</v>
      </c>
      <c r="BI594" s="765">
        <v>17400</v>
      </c>
      <c r="BJ594" s="765">
        <v>8.3699999999999992</v>
      </c>
      <c r="BK594" s="765">
        <v>181</v>
      </c>
      <c r="BL594" s="771">
        <v>514</v>
      </c>
    </row>
    <row r="595" spans="35:64" x14ac:dyDescent="0.3">
      <c r="AI595" s="763" t="s">
        <v>1145</v>
      </c>
      <c r="AJ595" s="764">
        <v>126000</v>
      </c>
      <c r="AK595" s="765">
        <v>550</v>
      </c>
      <c r="AL595" s="765">
        <v>71.900000000000006</v>
      </c>
      <c r="AM595" s="765">
        <v>448</v>
      </c>
      <c r="AN595" s="765">
        <v>115</v>
      </c>
      <c r="AO595" s="767" t="s">
        <v>1146</v>
      </c>
      <c r="AP595" s="767">
        <v>28</v>
      </c>
      <c r="AQ595" s="769">
        <v>19</v>
      </c>
      <c r="AR595" s="769">
        <v>16</v>
      </c>
      <c r="AS595" s="766">
        <v>730</v>
      </c>
      <c r="AT595" s="765">
        <v>1086</v>
      </c>
      <c r="AU595" s="767">
        <v>1.82</v>
      </c>
      <c r="AV595" s="767">
        <v>4.09</v>
      </c>
      <c r="AW595" s="765">
        <v>5960</v>
      </c>
      <c r="AX595" s="765">
        <v>20900</v>
      </c>
      <c r="AY595" s="765">
        <v>163</v>
      </c>
      <c r="AZ595" s="765">
        <v>885</v>
      </c>
      <c r="BA595" s="765">
        <v>5.14</v>
      </c>
      <c r="BB595" s="765">
        <v>73.400000000000006</v>
      </c>
      <c r="BC595" s="765">
        <v>29.5</v>
      </c>
      <c r="BD595" s="765">
        <v>115</v>
      </c>
      <c r="BE595" s="767">
        <v>0.20289324555274621</v>
      </c>
      <c r="BF595" s="768">
        <v>391.8</v>
      </c>
      <c r="BG595" s="765">
        <v>192</v>
      </c>
      <c r="BH595" s="765">
        <v>197</v>
      </c>
      <c r="BI595" s="765">
        <v>13700</v>
      </c>
      <c r="BJ595" s="765">
        <v>5.38</v>
      </c>
      <c r="BK595" s="765">
        <v>146</v>
      </c>
      <c r="BL595" s="771">
        <v>434</v>
      </c>
    </row>
    <row r="596" spans="35:64" x14ac:dyDescent="0.3">
      <c r="AI596" s="763" t="s">
        <v>1147</v>
      </c>
      <c r="AJ596" s="764">
        <v>115000</v>
      </c>
      <c r="AK596" s="765">
        <v>531</v>
      </c>
      <c r="AL596" s="765">
        <v>65.900000000000006</v>
      </c>
      <c r="AM596" s="765">
        <v>442</v>
      </c>
      <c r="AN596" s="765">
        <v>106</v>
      </c>
      <c r="AO596" s="767" t="s">
        <v>1148</v>
      </c>
      <c r="AP596" s="767">
        <v>26</v>
      </c>
      <c r="AQ596" s="765">
        <v>18</v>
      </c>
      <c r="AR596" s="769">
        <v>16</v>
      </c>
      <c r="AS596" s="766">
        <v>665</v>
      </c>
      <c r="AT596" s="765">
        <v>990</v>
      </c>
      <c r="AU596" s="767">
        <v>1.95</v>
      </c>
      <c r="AV596" s="767">
        <v>4.45</v>
      </c>
      <c r="AW596" s="765">
        <v>5190</v>
      </c>
      <c r="AX596" s="765">
        <v>18900</v>
      </c>
      <c r="AY596" s="765">
        <v>159</v>
      </c>
      <c r="AZ596" s="765">
        <v>730</v>
      </c>
      <c r="BA596" s="765">
        <v>4.04</v>
      </c>
      <c r="BB596" s="765">
        <v>57.7</v>
      </c>
      <c r="BC596" s="765">
        <v>28.4</v>
      </c>
      <c r="BD596" s="765">
        <v>90.6</v>
      </c>
      <c r="BE596" s="767">
        <v>0.1983494006665171</v>
      </c>
      <c r="BF596" s="768">
        <v>390.2</v>
      </c>
      <c r="BG596" s="765">
        <v>111</v>
      </c>
      <c r="BH596" s="765">
        <v>154</v>
      </c>
      <c r="BI596" s="765">
        <v>13700</v>
      </c>
      <c r="BJ596" s="765">
        <v>4.21</v>
      </c>
      <c r="BK596" s="765">
        <v>115</v>
      </c>
      <c r="BL596" s="771">
        <v>357</v>
      </c>
    </row>
    <row r="597" spans="35:64" x14ac:dyDescent="0.3">
      <c r="AI597" s="763" t="s">
        <v>1149</v>
      </c>
      <c r="AJ597" s="764">
        <v>104000</v>
      </c>
      <c r="AK597" s="765">
        <v>514</v>
      </c>
      <c r="AL597" s="765">
        <v>60.5</v>
      </c>
      <c r="AM597" s="765">
        <v>437</v>
      </c>
      <c r="AN597" s="765">
        <v>97</v>
      </c>
      <c r="AO597" s="767" t="s">
        <v>1150</v>
      </c>
      <c r="AP597" s="767">
        <v>157</v>
      </c>
      <c r="AQ597" s="769">
        <v>69</v>
      </c>
      <c r="AR597" s="769">
        <v>14</v>
      </c>
      <c r="AS597" s="766">
        <v>605</v>
      </c>
      <c r="AT597" s="765">
        <v>900</v>
      </c>
      <c r="AU597" s="767">
        <v>2.08</v>
      </c>
      <c r="AV597" s="767">
        <v>4.84</v>
      </c>
      <c r="AW597" s="765">
        <v>4500</v>
      </c>
      <c r="AX597" s="765">
        <v>17000</v>
      </c>
      <c r="AY597" s="765">
        <v>207</v>
      </c>
      <c r="AZ597" s="765">
        <v>27200</v>
      </c>
      <c r="BA597" s="765">
        <v>1960</v>
      </c>
      <c r="BB597" s="765">
        <v>8650</v>
      </c>
      <c r="BC597" s="765">
        <v>119</v>
      </c>
      <c r="BD597" s="765">
        <v>13400</v>
      </c>
      <c r="BE597" s="767">
        <v>0.81161019414189006</v>
      </c>
      <c r="BF597" s="768">
        <v>444</v>
      </c>
      <c r="BG597" s="765">
        <v>605000</v>
      </c>
      <c r="BH597" s="765">
        <v>96700</v>
      </c>
      <c r="BI597" s="765">
        <v>50400</v>
      </c>
      <c r="BJ597" s="765">
        <v>715</v>
      </c>
      <c r="BK597" s="765">
        <v>5220</v>
      </c>
      <c r="BL597" s="771">
        <v>13600</v>
      </c>
    </row>
    <row r="598" spans="35:64" x14ac:dyDescent="0.3">
      <c r="AI598" s="763" t="s">
        <v>1151</v>
      </c>
      <c r="AJ598" s="764">
        <v>94800</v>
      </c>
      <c r="AK598" s="765">
        <v>498</v>
      </c>
      <c r="AL598" s="765">
        <v>55.6</v>
      </c>
      <c r="AM598" s="765">
        <v>432</v>
      </c>
      <c r="AN598" s="765">
        <v>88.9</v>
      </c>
      <c r="AO598" s="767" t="s">
        <v>1152</v>
      </c>
      <c r="AP598" s="767">
        <v>147</v>
      </c>
      <c r="AQ598" s="765">
        <v>66</v>
      </c>
      <c r="AR598" s="769">
        <v>14</v>
      </c>
      <c r="AS598" s="766">
        <v>550</v>
      </c>
      <c r="AT598" s="765">
        <v>818</v>
      </c>
      <c r="AU598" s="767">
        <v>2.25</v>
      </c>
      <c r="AV598" s="767">
        <v>5.29</v>
      </c>
      <c r="AW598" s="765">
        <v>3920</v>
      </c>
      <c r="AX598" s="765">
        <v>15300</v>
      </c>
      <c r="AY598" s="765">
        <v>203</v>
      </c>
      <c r="AZ598" s="765">
        <v>24300</v>
      </c>
      <c r="BA598" s="765">
        <v>1730</v>
      </c>
      <c r="BB598" s="765">
        <v>7740</v>
      </c>
      <c r="BC598" s="765">
        <v>117</v>
      </c>
      <c r="BD598" s="765">
        <v>12000</v>
      </c>
      <c r="BE598" s="767">
        <v>0.7938420261099689</v>
      </c>
      <c r="BF598" s="768">
        <v>435</v>
      </c>
      <c r="BG598" s="765">
        <v>469000</v>
      </c>
      <c r="BH598" s="765">
        <v>82000</v>
      </c>
      <c r="BI598" s="765">
        <v>48700</v>
      </c>
      <c r="BJ598" s="765">
        <v>628</v>
      </c>
      <c r="BK598" s="765">
        <v>4700</v>
      </c>
      <c r="BL598" s="771">
        <v>12100</v>
      </c>
    </row>
    <row r="599" spans="35:64" x14ac:dyDescent="0.3">
      <c r="AI599" s="763" t="s">
        <v>1153</v>
      </c>
      <c r="AJ599" s="764">
        <v>86300</v>
      </c>
      <c r="AK599" s="765">
        <v>483</v>
      </c>
      <c r="AL599" s="765">
        <v>51.2</v>
      </c>
      <c r="AM599" s="765">
        <v>428</v>
      </c>
      <c r="AN599" s="765">
        <v>81.5</v>
      </c>
      <c r="AO599" s="767" t="s">
        <v>1154</v>
      </c>
      <c r="AP599" s="767">
        <v>138</v>
      </c>
      <c r="AQ599" s="769">
        <v>63</v>
      </c>
      <c r="AR599" s="769">
        <v>14</v>
      </c>
      <c r="AS599" s="766">
        <v>500</v>
      </c>
      <c r="AT599" s="765">
        <v>744</v>
      </c>
      <c r="AU599" s="767">
        <v>2.4300000000000002</v>
      </c>
      <c r="AV599" s="767">
        <v>5.76</v>
      </c>
      <c r="AW599" s="765">
        <v>3420</v>
      </c>
      <c r="AX599" s="765">
        <v>13700</v>
      </c>
      <c r="AY599" s="765">
        <v>198</v>
      </c>
      <c r="AZ599" s="765">
        <v>21600</v>
      </c>
      <c r="BA599" s="765">
        <v>1530</v>
      </c>
      <c r="BB599" s="765">
        <v>6940</v>
      </c>
      <c r="BC599" s="765">
        <v>116</v>
      </c>
      <c r="BD599" s="765">
        <v>10700</v>
      </c>
      <c r="BE599" s="767">
        <v>0.77799162276098766</v>
      </c>
      <c r="BF599" s="768">
        <v>425</v>
      </c>
      <c r="BG599" s="765">
        <v>364000</v>
      </c>
      <c r="BH599" s="765">
        <v>69200</v>
      </c>
      <c r="BI599" s="765">
        <v>47000</v>
      </c>
      <c r="BJ599" s="765">
        <v>550</v>
      </c>
      <c r="BK599" s="765">
        <v>4240</v>
      </c>
      <c r="BL599" s="771">
        <v>10800</v>
      </c>
    </row>
    <row r="600" spans="35:64" x14ac:dyDescent="0.3">
      <c r="AI600" s="763" t="s">
        <v>1155</v>
      </c>
      <c r="AJ600" s="764">
        <v>80800</v>
      </c>
      <c r="AK600" s="765">
        <v>474</v>
      </c>
      <c r="AL600" s="765">
        <v>47.6</v>
      </c>
      <c r="AM600" s="765">
        <v>424</v>
      </c>
      <c r="AN600" s="765">
        <v>77.099999999999994</v>
      </c>
      <c r="AO600" s="767" t="s">
        <v>1156</v>
      </c>
      <c r="AP600" s="767">
        <v>129</v>
      </c>
      <c r="AQ600" s="765">
        <v>60</v>
      </c>
      <c r="AR600" s="769">
        <v>14</v>
      </c>
      <c r="AS600" s="766">
        <v>455</v>
      </c>
      <c r="AT600" s="765">
        <v>677</v>
      </c>
      <c r="AU600" s="767">
        <v>2.63</v>
      </c>
      <c r="AV600" s="767">
        <v>6.25</v>
      </c>
      <c r="AW600" s="765">
        <v>2990</v>
      </c>
      <c r="AX600" s="765">
        <v>12400</v>
      </c>
      <c r="AY600" s="765">
        <v>194</v>
      </c>
      <c r="AZ600" s="765">
        <v>19300</v>
      </c>
      <c r="BA600" s="765">
        <v>1360</v>
      </c>
      <c r="BB600" s="765">
        <v>6200</v>
      </c>
      <c r="BC600" s="765">
        <v>114</v>
      </c>
      <c r="BD600" s="765">
        <v>9560</v>
      </c>
      <c r="BE600" s="767">
        <v>0.76483514386235751</v>
      </c>
      <c r="BF600" s="768">
        <v>417</v>
      </c>
      <c r="BG600" s="765">
        <v>279000</v>
      </c>
      <c r="BH600" s="765">
        <v>58900</v>
      </c>
      <c r="BI600" s="765">
        <v>45600</v>
      </c>
      <c r="BJ600" s="765">
        <v>483</v>
      </c>
      <c r="BK600" s="765">
        <v>3810</v>
      </c>
      <c r="BL600" s="771">
        <v>9610</v>
      </c>
    </row>
    <row r="601" spans="35:64" x14ac:dyDescent="0.3">
      <c r="AI601" s="763" t="s">
        <v>1157</v>
      </c>
      <c r="AJ601" s="764">
        <v>75500</v>
      </c>
      <c r="AK601" s="765">
        <v>465</v>
      </c>
      <c r="AL601" s="765">
        <v>45</v>
      </c>
      <c r="AM601" s="765">
        <v>421</v>
      </c>
      <c r="AN601" s="765">
        <v>72.3</v>
      </c>
      <c r="AO601" s="767" t="s">
        <v>1158</v>
      </c>
      <c r="AP601" s="767">
        <v>120</v>
      </c>
      <c r="AQ601" s="765">
        <v>58</v>
      </c>
      <c r="AR601" s="769">
        <v>14</v>
      </c>
      <c r="AS601" s="766">
        <v>426</v>
      </c>
      <c r="AT601" s="765">
        <v>634</v>
      </c>
      <c r="AU601" s="767">
        <v>2.75</v>
      </c>
      <c r="AV601" s="767">
        <v>6.72</v>
      </c>
      <c r="AW601" s="765">
        <v>2740</v>
      </c>
      <c r="AX601" s="765">
        <v>11600</v>
      </c>
      <c r="AY601" s="765">
        <v>190</v>
      </c>
      <c r="AZ601" s="765">
        <v>17200</v>
      </c>
      <c r="BA601" s="765">
        <v>1200</v>
      </c>
      <c r="BB601" s="765">
        <v>5550</v>
      </c>
      <c r="BC601" s="765">
        <v>112</v>
      </c>
      <c r="BD601" s="765">
        <v>8550</v>
      </c>
      <c r="BE601" s="767">
        <v>0.75268100690704687</v>
      </c>
      <c r="BF601" s="768">
        <v>409.1</v>
      </c>
      <c r="BG601" s="765">
        <v>214000</v>
      </c>
      <c r="BH601" s="765">
        <v>50200</v>
      </c>
      <c r="BI601" s="765">
        <v>44200</v>
      </c>
      <c r="BJ601" s="765">
        <v>424</v>
      </c>
      <c r="BK601" s="765">
        <v>3420</v>
      </c>
      <c r="BL601" s="771">
        <v>8570</v>
      </c>
    </row>
    <row r="602" spans="35:64" x14ac:dyDescent="0.3">
      <c r="AI602" s="763" t="s">
        <v>1159</v>
      </c>
      <c r="AJ602" s="764">
        <v>70100</v>
      </c>
      <c r="AK602" s="765">
        <v>455</v>
      </c>
      <c r="AL602" s="765">
        <v>42</v>
      </c>
      <c r="AM602" s="765">
        <v>418</v>
      </c>
      <c r="AN602" s="765">
        <v>67.599999999999994</v>
      </c>
      <c r="AO602" s="767" t="s">
        <v>1160</v>
      </c>
      <c r="AP602" s="767">
        <v>113</v>
      </c>
      <c r="AQ602" s="765">
        <v>56</v>
      </c>
      <c r="AR602" s="769">
        <v>14</v>
      </c>
      <c r="AS602" s="766">
        <v>398</v>
      </c>
      <c r="AT602" s="765">
        <v>592</v>
      </c>
      <c r="AU602" s="767">
        <v>2.91</v>
      </c>
      <c r="AV602" s="767">
        <v>7.12</v>
      </c>
      <c r="AW602" s="765">
        <v>2500</v>
      </c>
      <c r="AX602" s="765">
        <v>10800</v>
      </c>
      <c r="AY602" s="765">
        <v>186</v>
      </c>
      <c r="AZ602" s="765">
        <v>15300</v>
      </c>
      <c r="BA602" s="765">
        <v>1070</v>
      </c>
      <c r="BB602" s="765">
        <v>4990</v>
      </c>
      <c r="BC602" s="765">
        <v>111</v>
      </c>
      <c r="BD602" s="765">
        <v>7680</v>
      </c>
      <c r="BE602" s="767">
        <v>0.74003867923781785</v>
      </c>
      <c r="BF602" s="768">
        <v>401.5</v>
      </c>
      <c r="BG602" s="765">
        <v>165000</v>
      </c>
      <c r="BH602" s="765">
        <v>43100</v>
      </c>
      <c r="BI602" s="765">
        <v>43000</v>
      </c>
      <c r="BJ602" s="765">
        <v>375</v>
      </c>
      <c r="BK602" s="765">
        <v>3080</v>
      </c>
      <c r="BL602" s="771">
        <v>7660</v>
      </c>
    </row>
    <row r="603" spans="35:64" x14ac:dyDescent="0.3">
      <c r="AI603" s="763" t="s">
        <v>1161</v>
      </c>
      <c r="AJ603" s="764">
        <v>64900</v>
      </c>
      <c r="AK603" s="765">
        <v>446</v>
      </c>
      <c r="AL603" s="765">
        <v>39.1</v>
      </c>
      <c r="AM603" s="765">
        <v>416</v>
      </c>
      <c r="AN603" s="765">
        <v>62.7</v>
      </c>
      <c r="AO603" s="767" t="s">
        <v>1162</v>
      </c>
      <c r="AP603" s="767">
        <v>109</v>
      </c>
      <c r="AQ603" s="765">
        <v>54</v>
      </c>
      <c r="AR603" s="769">
        <v>14</v>
      </c>
      <c r="AS603" s="766">
        <v>370</v>
      </c>
      <c r="AT603" s="765">
        <v>551</v>
      </c>
      <c r="AU603" s="767">
        <v>3.09</v>
      </c>
      <c r="AV603" s="767">
        <v>7.61</v>
      </c>
      <c r="AW603" s="765">
        <v>2260</v>
      </c>
      <c r="AX603" s="765">
        <v>9940</v>
      </c>
      <c r="AY603" s="765">
        <v>184</v>
      </c>
      <c r="AZ603" s="765">
        <v>14200</v>
      </c>
      <c r="BA603" s="765">
        <v>983</v>
      </c>
      <c r="BB603" s="765">
        <v>4630</v>
      </c>
      <c r="BC603" s="765">
        <v>110</v>
      </c>
      <c r="BD603" s="765">
        <v>7120</v>
      </c>
      <c r="BE603" s="767">
        <v>0.7291839923555804</v>
      </c>
      <c r="BF603" s="768">
        <v>396.9</v>
      </c>
      <c r="BG603" s="765">
        <v>138000</v>
      </c>
      <c r="BH603" s="765">
        <v>38700</v>
      </c>
      <c r="BI603" s="765">
        <v>42100</v>
      </c>
      <c r="BJ603" s="765">
        <v>344</v>
      </c>
      <c r="BK603" s="765">
        <v>2880</v>
      </c>
      <c r="BL603" s="771">
        <v>7100</v>
      </c>
    </row>
    <row r="604" spans="35:64" x14ac:dyDescent="0.3">
      <c r="AI604" s="763" t="s">
        <v>1163</v>
      </c>
      <c r="AJ604" s="764">
        <v>59000</v>
      </c>
      <c r="AK604" s="765">
        <v>435</v>
      </c>
      <c r="AL604" s="765">
        <v>35.799999999999997</v>
      </c>
      <c r="AM604" s="765">
        <v>412</v>
      </c>
      <c r="AN604" s="765">
        <v>57.4</v>
      </c>
      <c r="AO604" s="767" t="s">
        <v>1164</v>
      </c>
      <c r="AP604" s="767">
        <v>104</v>
      </c>
      <c r="AQ604" s="765">
        <v>53</v>
      </c>
      <c r="AR604" s="769">
        <v>14</v>
      </c>
      <c r="AS604" s="766">
        <v>342</v>
      </c>
      <c r="AT604" s="765">
        <v>509</v>
      </c>
      <c r="AU604" s="767">
        <v>3.32</v>
      </c>
      <c r="AV604" s="768">
        <v>8.1999999999999993</v>
      </c>
      <c r="AW604" s="765">
        <v>2050</v>
      </c>
      <c r="AX604" s="765">
        <v>9170</v>
      </c>
      <c r="AY604" s="765">
        <v>182</v>
      </c>
      <c r="AZ604" s="765">
        <v>13100</v>
      </c>
      <c r="BA604" s="765">
        <v>902</v>
      </c>
      <c r="BB604" s="765">
        <v>4280</v>
      </c>
      <c r="BC604" s="765">
        <v>109</v>
      </c>
      <c r="BD604" s="765">
        <v>6570</v>
      </c>
      <c r="BE604" s="767">
        <v>0.72025215709266099</v>
      </c>
      <c r="BF604" s="768">
        <v>392.7</v>
      </c>
      <c r="BG604" s="765">
        <v>114000</v>
      </c>
      <c r="BH604" s="765">
        <v>34800</v>
      </c>
      <c r="BI604" s="765">
        <v>41300</v>
      </c>
      <c r="BJ604" s="765">
        <v>315</v>
      </c>
      <c r="BK604" s="765">
        <v>2670</v>
      </c>
      <c r="BL604" s="771">
        <v>6550</v>
      </c>
    </row>
    <row r="605" spans="35:64" x14ac:dyDescent="0.3">
      <c r="AI605" s="763" t="s">
        <v>1165</v>
      </c>
      <c r="AJ605" s="764">
        <v>53700</v>
      </c>
      <c r="AK605" s="765">
        <v>425</v>
      </c>
      <c r="AL605" s="765">
        <v>32.799999999999997</v>
      </c>
      <c r="AM605" s="765">
        <v>409</v>
      </c>
      <c r="AN605" s="765">
        <v>52.6</v>
      </c>
      <c r="AO605" s="767" t="s">
        <v>1166</v>
      </c>
      <c r="AP605" s="767">
        <v>99</v>
      </c>
      <c r="AQ605" s="765">
        <v>51</v>
      </c>
      <c r="AR605" s="769">
        <v>14</v>
      </c>
      <c r="AS605" s="766">
        <v>311</v>
      </c>
      <c r="AT605" s="765">
        <v>463</v>
      </c>
      <c r="AU605" s="767">
        <v>3.59</v>
      </c>
      <c r="AV605" s="768">
        <v>8.94</v>
      </c>
      <c r="AW605" s="765">
        <v>1800</v>
      </c>
      <c r="AX605" s="765">
        <v>8280</v>
      </c>
      <c r="AY605" s="765">
        <v>180</v>
      </c>
      <c r="AZ605" s="765">
        <v>12100</v>
      </c>
      <c r="BA605" s="765">
        <v>825</v>
      </c>
      <c r="BB605" s="765">
        <v>3950</v>
      </c>
      <c r="BC605" s="765">
        <v>108</v>
      </c>
      <c r="BD605" s="765">
        <v>6050</v>
      </c>
      <c r="BE605" s="767">
        <v>0.71328110302404524</v>
      </c>
      <c r="BF605" s="768">
        <v>387.4</v>
      </c>
      <c r="BG605" s="765">
        <v>92500</v>
      </c>
      <c r="BH605" s="765">
        <v>31000</v>
      </c>
      <c r="BI605" s="765">
        <v>40500</v>
      </c>
      <c r="BJ605" s="765">
        <v>286</v>
      </c>
      <c r="BK605" s="765">
        <v>2460</v>
      </c>
      <c r="BL605" s="771">
        <v>6010</v>
      </c>
    </row>
    <row r="606" spans="35:64" x14ac:dyDescent="0.3">
      <c r="AI606" s="763" t="s">
        <v>1167</v>
      </c>
      <c r="AJ606" s="764">
        <v>48700</v>
      </c>
      <c r="AK606" s="765">
        <v>416</v>
      </c>
      <c r="AL606" s="765">
        <v>29.8</v>
      </c>
      <c r="AM606" s="765">
        <v>406</v>
      </c>
      <c r="AN606" s="765">
        <v>48</v>
      </c>
      <c r="AO606" s="767" t="s">
        <v>1168</v>
      </c>
      <c r="AP606" s="767">
        <v>94</v>
      </c>
      <c r="AQ606" s="769">
        <v>50</v>
      </c>
      <c r="AR606" s="769">
        <v>14</v>
      </c>
      <c r="AS606" s="766">
        <v>283</v>
      </c>
      <c r="AT606" s="765">
        <v>421</v>
      </c>
      <c r="AU606" s="767">
        <v>3.89</v>
      </c>
      <c r="AV606" s="768">
        <v>9.75</v>
      </c>
      <c r="AW606" s="765">
        <v>1600</v>
      </c>
      <c r="AX606" s="765">
        <v>7510</v>
      </c>
      <c r="AY606" s="765">
        <v>178</v>
      </c>
      <c r="AZ606" s="765">
        <v>11000</v>
      </c>
      <c r="BA606" s="765">
        <v>754</v>
      </c>
      <c r="BB606" s="765">
        <v>3630</v>
      </c>
      <c r="BC606" s="765">
        <v>108</v>
      </c>
      <c r="BD606" s="765">
        <v>5550</v>
      </c>
      <c r="BE606" s="767">
        <v>0.70595677570333815</v>
      </c>
      <c r="BF606" s="768">
        <v>383.3</v>
      </c>
      <c r="BG606" s="765">
        <v>74000</v>
      </c>
      <c r="BH606" s="765">
        <v>27700</v>
      </c>
      <c r="BI606" s="765">
        <v>39900</v>
      </c>
      <c r="BJ606" s="765">
        <v>260</v>
      </c>
      <c r="BK606" s="765">
        <v>2260</v>
      </c>
      <c r="BL606" s="771">
        <v>5500</v>
      </c>
    </row>
    <row r="607" spans="35:64" x14ac:dyDescent="0.3">
      <c r="AI607" s="763" t="s">
        <v>1169</v>
      </c>
      <c r="AJ607" s="764">
        <v>44200</v>
      </c>
      <c r="AK607" s="765">
        <v>407</v>
      </c>
      <c r="AL607" s="765">
        <v>27.2</v>
      </c>
      <c r="AM607" s="765">
        <v>404</v>
      </c>
      <c r="AN607" s="765">
        <v>43.7</v>
      </c>
      <c r="AO607" s="767" t="s">
        <v>1170</v>
      </c>
      <c r="AP607" s="767">
        <v>89</v>
      </c>
      <c r="AQ607" s="769">
        <v>48</v>
      </c>
      <c r="AR607" s="769">
        <v>14</v>
      </c>
      <c r="AS607" s="766">
        <v>257</v>
      </c>
      <c r="AT607" s="765">
        <v>382</v>
      </c>
      <c r="AU607" s="767">
        <v>4.2300000000000004</v>
      </c>
      <c r="AV607" s="768">
        <v>10.7</v>
      </c>
      <c r="AW607" s="765">
        <v>1410</v>
      </c>
      <c r="AX607" s="765">
        <v>6790</v>
      </c>
      <c r="AY607" s="765">
        <v>175</v>
      </c>
      <c r="AZ607" s="765">
        <v>9880</v>
      </c>
      <c r="BA607" s="765">
        <v>670</v>
      </c>
      <c r="BB607" s="765">
        <v>3250</v>
      </c>
      <c r="BC607" s="765">
        <v>107</v>
      </c>
      <c r="BD607" s="765">
        <v>4980</v>
      </c>
      <c r="BE607" s="767">
        <v>0.69518918549553099</v>
      </c>
      <c r="BF607" s="768">
        <v>377.6</v>
      </c>
      <c r="BG607" s="765">
        <v>56500</v>
      </c>
      <c r="BH607" s="765">
        <v>23900</v>
      </c>
      <c r="BI607" s="765">
        <v>38900</v>
      </c>
      <c r="BJ607" s="765">
        <v>230</v>
      </c>
      <c r="BK607" s="765">
        <v>2040</v>
      </c>
      <c r="BL607" s="771">
        <v>4920</v>
      </c>
    </row>
    <row r="608" spans="35:64" x14ac:dyDescent="0.3">
      <c r="AI608" s="763" t="s">
        <v>1171</v>
      </c>
      <c r="AJ608" s="764">
        <v>39900</v>
      </c>
      <c r="AK608" s="765">
        <v>399</v>
      </c>
      <c r="AL608" s="765">
        <v>24.9</v>
      </c>
      <c r="AM608" s="765">
        <v>401</v>
      </c>
      <c r="AN608" s="765">
        <v>39.6</v>
      </c>
      <c r="AO608" s="767" t="s">
        <v>1172</v>
      </c>
      <c r="AP608" s="767">
        <v>84</v>
      </c>
      <c r="AQ608" s="769">
        <v>46</v>
      </c>
      <c r="AR608" s="769">
        <v>14</v>
      </c>
      <c r="AS608" s="766">
        <v>233</v>
      </c>
      <c r="AT608" s="765">
        <v>347</v>
      </c>
      <c r="AU608" s="767">
        <v>4.62</v>
      </c>
      <c r="AV608" s="768">
        <v>11.8</v>
      </c>
      <c r="AW608" s="765">
        <v>1250</v>
      </c>
      <c r="AX608" s="765">
        <v>6140</v>
      </c>
      <c r="AY608" s="765">
        <v>172</v>
      </c>
      <c r="AZ608" s="765">
        <v>8880</v>
      </c>
      <c r="BA608" s="765">
        <v>601</v>
      </c>
      <c r="BB608" s="765">
        <v>2940</v>
      </c>
      <c r="BC608" s="765">
        <v>106</v>
      </c>
      <c r="BD608" s="765">
        <v>4490</v>
      </c>
      <c r="BE608" s="767">
        <v>0.68614275700010174</v>
      </c>
      <c r="BF608" s="768">
        <v>372.4</v>
      </c>
      <c r="BG608" s="765">
        <v>43400</v>
      </c>
      <c r="BH608" s="765">
        <v>20800</v>
      </c>
      <c r="BI608" s="765">
        <v>38100</v>
      </c>
      <c r="BJ608" s="765">
        <v>205</v>
      </c>
      <c r="BK608" s="765">
        <v>1840</v>
      </c>
      <c r="BL608" s="771">
        <v>4430</v>
      </c>
    </row>
    <row r="609" spans="35:64" x14ac:dyDescent="0.3">
      <c r="AI609" s="763" t="s">
        <v>1173</v>
      </c>
      <c r="AJ609" s="764">
        <v>36600</v>
      </c>
      <c r="AK609" s="765">
        <v>393</v>
      </c>
      <c r="AL609" s="765">
        <v>22.6</v>
      </c>
      <c r="AM609" s="765">
        <v>399</v>
      </c>
      <c r="AN609" s="765">
        <v>36.6</v>
      </c>
      <c r="AO609" s="767" t="s">
        <v>1174</v>
      </c>
      <c r="AP609" s="767">
        <v>80</v>
      </c>
      <c r="AQ609" s="769">
        <v>45</v>
      </c>
      <c r="AR609" s="769">
        <v>14</v>
      </c>
      <c r="AS609" s="766">
        <v>211</v>
      </c>
      <c r="AT609" s="765">
        <v>314</v>
      </c>
      <c r="AU609" s="767">
        <v>5.0599999999999996</v>
      </c>
      <c r="AV609" s="768">
        <v>12.8</v>
      </c>
      <c r="AW609" s="765">
        <v>1100</v>
      </c>
      <c r="AX609" s="765">
        <v>5530</v>
      </c>
      <c r="AY609" s="765">
        <v>170</v>
      </c>
      <c r="AZ609" s="765">
        <v>7970</v>
      </c>
      <c r="BA609" s="765">
        <v>536</v>
      </c>
      <c r="BB609" s="765">
        <v>2640</v>
      </c>
      <c r="BC609" s="765">
        <v>105</v>
      </c>
      <c r="BD609" s="765">
        <v>4030</v>
      </c>
      <c r="BE609" s="767">
        <v>0.67822556695905822</v>
      </c>
      <c r="BF609" s="768">
        <v>368</v>
      </c>
      <c r="BG609" s="765">
        <v>32900</v>
      </c>
      <c r="BH609" s="765">
        <v>18200</v>
      </c>
      <c r="BI609" s="765">
        <v>37400</v>
      </c>
      <c r="BJ609" s="765">
        <v>182</v>
      </c>
      <c r="BK609" s="765">
        <v>1660</v>
      </c>
      <c r="BL609" s="771">
        <v>3970</v>
      </c>
    </row>
    <row r="610" spans="35:64" x14ac:dyDescent="0.3">
      <c r="AI610" s="763" t="s">
        <v>1175</v>
      </c>
      <c r="AJ610" s="764">
        <v>33500</v>
      </c>
      <c r="AK610" s="765">
        <v>387</v>
      </c>
      <c r="AL610" s="765">
        <v>21.1</v>
      </c>
      <c r="AM610" s="765">
        <v>398</v>
      </c>
      <c r="AN610" s="765">
        <v>33.299999999999997</v>
      </c>
      <c r="AO610" s="767" t="s">
        <v>1176</v>
      </c>
      <c r="AP610" s="767">
        <v>75</v>
      </c>
      <c r="AQ610" s="769">
        <v>44</v>
      </c>
      <c r="AR610" s="769">
        <v>14</v>
      </c>
      <c r="AS610" s="766">
        <v>193</v>
      </c>
      <c r="AT610" s="765">
        <v>287</v>
      </c>
      <c r="AU610" s="767">
        <v>5.45</v>
      </c>
      <c r="AV610" s="768">
        <v>14.2</v>
      </c>
      <c r="AW610" s="765">
        <v>997</v>
      </c>
      <c r="AX610" s="765">
        <v>5070</v>
      </c>
      <c r="AY610" s="765">
        <v>168</v>
      </c>
      <c r="AZ610" s="765">
        <v>7140</v>
      </c>
      <c r="BA610" s="765">
        <v>481</v>
      </c>
      <c r="BB610" s="765">
        <v>2380</v>
      </c>
      <c r="BC610" s="765">
        <v>104</v>
      </c>
      <c r="BD610" s="765">
        <v>3630</v>
      </c>
      <c r="BE610" s="767">
        <v>0.67112182843673363</v>
      </c>
      <c r="BF610" s="768">
        <v>363.3</v>
      </c>
      <c r="BG610" s="765">
        <v>24800</v>
      </c>
      <c r="BH610" s="765">
        <v>15900</v>
      </c>
      <c r="BI610" s="765">
        <v>36700</v>
      </c>
      <c r="BJ610" s="765">
        <v>162</v>
      </c>
      <c r="BK610" s="765">
        <v>1500</v>
      </c>
      <c r="BL610" s="771">
        <v>3550</v>
      </c>
    </row>
    <row r="611" spans="35:64" x14ac:dyDescent="0.3">
      <c r="AI611" s="763" t="s">
        <v>1177</v>
      </c>
      <c r="AJ611" s="764">
        <v>30100</v>
      </c>
      <c r="AK611" s="765">
        <v>380</v>
      </c>
      <c r="AL611" s="765">
        <v>18.899999999999999</v>
      </c>
      <c r="AM611" s="765">
        <v>395</v>
      </c>
      <c r="AN611" s="765">
        <v>30.2</v>
      </c>
      <c r="AO611" s="767" t="s">
        <v>1178</v>
      </c>
      <c r="AP611" s="767">
        <v>71</v>
      </c>
      <c r="AQ611" s="769">
        <v>42</v>
      </c>
      <c r="AR611" s="769">
        <v>14</v>
      </c>
      <c r="AS611" s="766">
        <v>176</v>
      </c>
      <c r="AT611" s="765">
        <v>262</v>
      </c>
      <c r="AU611" s="767">
        <v>5.98</v>
      </c>
      <c r="AV611" s="768">
        <v>15.2</v>
      </c>
      <c r="AW611" s="765">
        <v>894</v>
      </c>
      <c r="AX611" s="765">
        <v>4620</v>
      </c>
      <c r="AY611" s="765">
        <v>166</v>
      </c>
      <c r="AZ611" s="765">
        <v>6370</v>
      </c>
      <c r="BA611" s="765">
        <v>426</v>
      </c>
      <c r="BB611" s="765">
        <v>2120</v>
      </c>
      <c r="BC611" s="765">
        <v>103</v>
      </c>
      <c r="BD611" s="765">
        <v>3240</v>
      </c>
      <c r="BE611" s="767">
        <v>0.66215491297565388</v>
      </c>
      <c r="BF611" s="768">
        <v>359.4</v>
      </c>
      <c r="BG611" s="765">
        <v>18500</v>
      </c>
      <c r="BH611" s="765">
        <v>13800</v>
      </c>
      <c r="BI611" s="765">
        <v>36000</v>
      </c>
      <c r="BJ611" s="765">
        <v>143</v>
      </c>
      <c r="BK611" s="765">
        <v>1340</v>
      </c>
      <c r="BL611" s="771">
        <v>3170</v>
      </c>
    </row>
    <row r="612" spans="35:64" x14ac:dyDescent="0.3">
      <c r="AI612" s="763" t="s">
        <v>1179</v>
      </c>
      <c r="AJ612" s="764">
        <v>27600</v>
      </c>
      <c r="AK612" s="765">
        <v>375</v>
      </c>
      <c r="AL612" s="765">
        <v>17.3</v>
      </c>
      <c r="AM612" s="765">
        <v>394</v>
      </c>
      <c r="AN612" s="765">
        <v>27.7</v>
      </c>
      <c r="AO612" s="767" t="s">
        <v>1180</v>
      </c>
      <c r="AP612" s="767">
        <v>68</v>
      </c>
      <c r="AQ612" s="769">
        <v>41</v>
      </c>
      <c r="AR612" s="769">
        <v>14</v>
      </c>
      <c r="AS612" s="766">
        <v>159</v>
      </c>
      <c r="AT612" s="765">
        <v>237</v>
      </c>
      <c r="AU612" s="767">
        <v>6.54</v>
      </c>
      <c r="AV612" s="768">
        <v>16.899999999999999</v>
      </c>
      <c r="AW612" s="765">
        <v>788</v>
      </c>
      <c r="AX612" s="765">
        <v>4150</v>
      </c>
      <c r="AY612" s="765">
        <v>165</v>
      </c>
      <c r="AZ612" s="765">
        <v>5810</v>
      </c>
      <c r="BA612" s="765">
        <v>388</v>
      </c>
      <c r="BB612" s="765">
        <v>1940</v>
      </c>
      <c r="BC612" s="765">
        <v>103</v>
      </c>
      <c r="BD612" s="765">
        <v>2960</v>
      </c>
      <c r="BE612" s="767">
        <v>0.65641761914116403</v>
      </c>
      <c r="BF612" s="768">
        <v>356.4</v>
      </c>
      <c r="BG612" s="765">
        <v>14500</v>
      </c>
      <c r="BH612" s="765">
        <v>12300</v>
      </c>
      <c r="BI612" s="765">
        <v>35600</v>
      </c>
      <c r="BJ612" s="765">
        <v>130</v>
      </c>
      <c r="BK612" s="765">
        <v>1230</v>
      </c>
      <c r="BL612" s="771">
        <v>2890</v>
      </c>
    </row>
    <row r="613" spans="35:64" x14ac:dyDescent="0.3">
      <c r="AI613" s="763" t="s">
        <v>1181</v>
      </c>
      <c r="AJ613" s="764">
        <v>25000</v>
      </c>
      <c r="AK613" s="765">
        <v>372</v>
      </c>
      <c r="AL613" s="765">
        <v>16.399999999999999</v>
      </c>
      <c r="AM613" s="765">
        <v>374</v>
      </c>
      <c r="AN613" s="765">
        <v>26.2</v>
      </c>
      <c r="AO613" s="767" t="s">
        <v>1182</v>
      </c>
      <c r="AP613" s="767">
        <v>65</v>
      </c>
      <c r="AQ613" s="769">
        <v>41</v>
      </c>
      <c r="AR613" s="769">
        <v>14</v>
      </c>
      <c r="AS613" s="766">
        <v>145</v>
      </c>
      <c r="AT613" s="768">
        <v>216</v>
      </c>
      <c r="AU613" s="767">
        <v>7.11</v>
      </c>
      <c r="AV613" s="768">
        <v>18.5</v>
      </c>
      <c r="AW613" s="765">
        <v>712</v>
      </c>
      <c r="AX613" s="765">
        <v>3790</v>
      </c>
      <c r="AY613" s="765">
        <v>163</v>
      </c>
      <c r="AZ613" s="765">
        <v>5260</v>
      </c>
      <c r="BA613" s="765">
        <v>350</v>
      </c>
      <c r="BB613" s="765">
        <v>1760</v>
      </c>
      <c r="BC613" s="765">
        <v>102</v>
      </c>
      <c r="BD613" s="765">
        <v>2680</v>
      </c>
      <c r="BE613" s="767">
        <v>0.65169470832951215</v>
      </c>
      <c r="BF613" s="768">
        <v>353.7</v>
      </c>
      <c r="BG613" s="765">
        <v>11100</v>
      </c>
      <c r="BH613" s="765">
        <v>11000</v>
      </c>
      <c r="BI613" s="765">
        <v>35200</v>
      </c>
      <c r="BJ613" s="765">
        <v>117</v>
      </c>
      <c r="BK613" s="765">
        <v>1110</v>
      </c>
      <c r="BL613" s="771">
        <v>2610</v>
      </c>
    </row>
    <row r="614" spans="35:64" x14ac:dyDescent="0.3">
      <c r="AI614" s="763" t="s">
        <v>1183</v>
      </c>
      <c r="AJ614" s="764">
        <v>22800</v>
      </c>
      <c r="AK614" s="765">
        <v>368</v>
      </c>
      <c r="AL614" s="765">
        <v>15</v>
      </c>
      <c r="AM614" s="765">
        <v>373</v>
      </c>
      <c r="AN614" s="765">
        <v>23.9</v>
      </c>
      <c r="AO614" s="767" t="s">
        <v>1184</v>
      </c>
      <c r="AP614" s="767">
        <v>62</v>
      </c>
      <c r="AQ614" s="769">
        <v>39</v>
      </c>
      <c r="AR614" s="769">
        <v>14</v>
      </c>
      <c r="AS614" s="766">
        <v>132</v>
      </c>
      <c r="AT614" s="768">
        <v>196</v>
      </c>
      <c r="AU614" s="768">
        <v>7.14</v>
      </c>
      <c r="AV614" s="768">
        <v>19.5</v>
      </c>
      <c r="AW614" s="765">
        <v>636</v>
      </c>
      <c r="AX614" s="765">
        <v>3420</v>
      </c>
      <c r="AY614" s="765">
        <v>162</v>
      </c>
      <c r="AZ614" s="765">
        <v>4690</v>
      </c>
      <c r="BA614" s="765">
        <v>310</v>
      </c>
      <c r="BB614" s="765">
        <v>1570</v>
      </c>
      <c r="BC614" s="765">
        <v>102</v>
      </c>
      <c r="BD614" s="765">
        <v>2390</v>
      </c>
      <c r="BE614" s="767">
        <v>0.64305375183770019</v>
      </c>
      <c r="BF614" s="768">
        <v>349.8</v>
      </c>
      <c r="BG614" s="765">
        <v>8190</v>
      </c>
      <c r="BH614" s="765">
        <v>9500</v>
      </c>
      <c r="BI614" s="765">
        <v>34500</v>
      </c>
      <c r="BJ614" s="765">
        <v>103</v>
      </c>
      <c r="BK614" s="765">
        <v>993</v>
      </c>
      <c r="BL614" s="771">
        <v>2330</v>
      </c>
    </row>
    <row r="615" spans="35:64" x14ac:dyDescent="0.3">
      <c r="AI615" s="763" t="s">
        <v>1185</v>
      </c>
      <c r="AJ615" s="764">
        <v>20600</v>
      </c>
      <c r="AK615" s="765">
        <v>364</v>
      </c>
      <c r="AL615" s="765">
        <v>13.3</v>
      </c>
      <c r="AM615" s="765">
        <v>371</v>
      </c>
      <c r="AN615" s="765">
        <v>21.8</v>
      </c>
      <c r="AO615" s="767" t="s">
        <v>1186</v>
      </c>
      <c r="AP615" s="767">
        <v>59</v>
      </c>
      <c r="AQ615" s="772">
        <v>39</v>
      </c>
      <c r="AR615" s="769">
        <v>14</v>
      </c>
      <c r="AS615" s="766">
        <v>120</v>
      </c>
      <c r="AT615" s="768">
        <v>179</v>
      </c>
      <c r="AU615" s="767">
        <v>7.8</v>
      </c>
      <c r="AV615" s="768">
        <v>21.3</v>
      </c>
      <c r="AW615" s="765">
        <v>575</v>
      </c>
      <c r="AX615" s="765">
        <v>3120</v>
      </c>
      <c r="AY615" s="765">
        <v>161</v>
      </c>
      <c r="AZ615" s="765">
        <v>4260</v>
      </c>
      <c r="BA615" s="765">
        <v>283</v>
      </c>
      <c r="BB615" s="765">
        <v>1430</v>
      </c>
      <c r="BC615" s="765">
        <v>101</v>
      </c>
      <c r="BD615" s="765">
        <v>2180</v>
      </c>
      <c r="BE615" s="767">
        <v>0.64008389859109083</v>
      </c>
      <c r="BF615" s="768">
        <v>347.3</v>
      </c>
      <c r="BG615" s="765">
        <v>6330</v>
      </c>
      <c r="BH615" s="765">
        <v>8520</v>
      </c>
      <c r="BI615" s="765">
        <v>34200</v>
      </c>
      <c r="BJ615" s="765">
        <v>93.3</v>
      </c>
      <c r="BK615" s="765">
        <v>906</v>
      </c>
      <c r="BL615" s="771">
        <v>2120</v>
      </c>
    </row>
    <row r="616" spans="35:64" x14ac:dyDescent="0.3">
      <c r="AI616" s="763" t="s">
        <v>1187</v>
      </c>
      <c r="AJ616" s="764">
        <v>18800</v>
      </c>
      <c r="AK616" s="765">
        <v>360</v>
      </c>
      <c r="AL616" s="765">
        <v>12.3</v>
      </c>
      <c r="AM616" s="765">
        <v>370</v>
      </c>
      <c r="AN616" s="765">
        <v>19.8</v>
      </c>
      <c r="AO616" s="767" t="s">
        <v>1188</v>
      </c>
      <c r="AP616" s="767">
        <v>58</v>
      </c>
      <c r="AQ616" s="769">
        <v>38</v>
      </c>
      <c r="AR616" s="769">
        <v>14</v>
      </c>
      <c r="AS616" s="766">
        <v>109</v>
      </c>
      <c r="AT616" s="768">
        <v>162</v>
      </c>
      <c r="AU616" s="767">
        <v>8.51</v>
      </c>
      <c r="AV616" s="768">
        <v>24.1</v>
      </c>
      <c r="AW616" s="765">
        <v>516</v>
      </c>
      <c r="AX616" s="765">
        <v>2830</v>
      </c>
      <c r="AY616" s="765">
        <v>159</v>
      </c>
      <c r="AZ616" s="765">
        <v>3840</v>
      </c>
      <c r="BA616" s="765">
        <v>229</v>
      </c>
      <c r="BB616" s="765">
        <v>1220</v>
      </c>
      <c r="BC616" s="765">
        <v>95.5</v>
      </c>
      <c r="BD616" s="765">
        <v>1860</v>
      </c>
      <c r="BE616" s="767">
        <v>0.60471535093030493</v>
      </c>
      <c r="BF616" s="768">
        <v>345.8</v>
      </c>
      <c r="BG616" s="765">
        <v>5140</v>
      </c>
      <c r="BH616" s="765">
        <v>6830</v>
      </c>
      <c r="BI616" s="765">
        <v>32300</v>
      </c>
      <c r="BJ616" s="765">
        <v>79.2</v>
      </c>
      <c r="BK616" s="765">
        <v>810</v>
      </c>
      <c r="BL616" s="771">
        <v>1900</v>
      </c>
    </row>
    <row r="617" spans="35:64" x14ac:dyDescent="0.3">
      <c r="AI617" s="763" t="s">
        <v>1189</v>
      </c>
      <c r="AJ617" s="764">
        <v>17100</v>
      </c>
      <c r="AK617" s="765">
        <v>356</v>
      </c>
      <c r="AL617" s="765">
        <v>11.2</v>
      </c>
      <c r="AM617" s="765">
        <v>369</v>
      </c>
      <c r="AN617" s="765">
        <v>18</v>
      </c>
      <c r="AO617" s="767" t="s">
        <v>1190</v>
      </c>
      <c r="AP617" s="767">
        <v>55</v>
      </c>
      <c r="AQ617" s="769">
        <v>38</v>
      </c>
      <c r="AR617" s="770">
        <v>14</v>
      </c>
      <c r="AS617" s="766">
        <v>99</v>
      </c>
      <c r="AT617" s="768">
        <v>147</v>
      </c>
      <c r="AU617" s="767">
        <v>9.34</v>
      </c>
      <c r="AV617" s="768">
        <v>26</v>
      </c>
      <c r="AW617" s="765">
        <v>463</v>
      </c>
      <c r="AX617" s="765">
        <v>2570</v>
      </c>
      <c r="AY617" s="765">
        <v>159</v>
      </c>
      <c r="AZ617" s="765">
        <v>3480</v>
      </c>
      <c r="BA617" s="765">
        <v>207</v>
      </c>
      <c r="BB617" s="765">
        <v>1110</v>
      </c>
      <c r="BC617" s="765">
        <v>95.2</v>
      </c>
      <c r="BD617" s="765">
        <v>1680</v>
      </c>
      <c r="BE617" s="767">
        <v>0.60062464025501394</v>
      </c>
      <c r="BF617" s="768">
        <v>344.1</v>
      </c>
      <c r="BG617" s="765">
        <v>3910</v>
      </c>
      <c r="BH617" s="765">
        <v>6120</v>
      </c>
      <c r="BI617" s="765">
        <v>32100</v>
      </c>
      <c r="BJ617" s="765">
        <v>71.5</v>
      </c>
      <c r="BK617" s="765">
        <v>736</v>
      </c>
      <c r="BL617" s="771">
        <v>1730</v>
      </c>
    </row>
    <row r="618" spans="35:64" x14ac:dyDescent="0.3">
      <c r="AI618" s="763" t="s">
        <v>1191</v>
      </c>
      <c r="AJ618" s="764">
        <v>15500</v>
      </c>
      <c r="AK618" s="765">
        <v>363</v>
      </c>
      <c r="AL618" s="765">
        <v>13</v>
      </c>
      <c r="AM618" s="765">
        <v>257</v>
      </c>
      <c r="AN618" s="765">
        <v>21.7</v>
      </c>
      <c r="AO618" s="767" t="s">
        <v>1192</v>
      </c>
      <c r="AP618" s="767">
        <v>53</v>
      </c>
      <c r="AQ618" s="769">
        <v>37</v>
      </c>
      <c r="AR618" s="770">
        <v>14</v>
      </c>
      <c r="AS618" s="766">
        <v>90</v>
      </c>
      <c r="AT618" s="768">
        <v>134</v>
      </c>
      <c r="AU618" s="767">
        <v>10.3</v>
      </c>
      <c r="AV618" s="768">
        <v>28.6</v>
      </c>
      <c r="AW618" s="765">
        <v>415</v>
      </c>
      <c r="AX618" s="765">
        <v>2330</v>
      </c>
      <c r="AY618" s="765">
        <v>158</v>
      </c>
      <c r="AZ618" s="765">
        <v>3140</v>
      </c>
      <c r="BA618" s="765">
        <v>186</v>
      </c>
      <c r="BB618" s="765">
        <v>1000</v>
      </c>
      <c r="BC618" s="765">
        <v>94.8</v>
      </c>
      <c r="BD618" s="765">
        <v>1520</v>
      </c>
      <c r="BE618" s="767">
        <v>0.59591590333568389</v>
      </c>
      <c r="BF618" s="768">
        <v>342.2</v>
      </c>
      <c r="BG618" s="765">
        <v>2940</v>
      </c>
      <c r="BH618" s="765">
        <v>5430</v>
      </c>
      <c r="BI618" s="765">
        <v>31700</v>
      </c>
      <c r="BJ618" s="765">
        <v>64.2</v>
      </c>
      <c r="BK618" s="765">
        <v>667</v>
      </c>
      <c r="BL618" s="771">
        <v>1550</v>
      </c>
    </row>
    <row r="619" spans="35:64" x14ac:dyDescent="0.3">
      <c r="AI619" s="763" t="s">
        <v>1193</v>
      </c>
      <c r="AJ619" s="764">
        <v>14000</v>
      </c>
      <c r="AK619" s="765">
        <v>360</v>
      </c>
      <c r="AL619" s="765">
        <v>11.4</v>
      </c>
      <c r="AM619" s="765">
        <v>256</v>
      </c>
      <c r="AN619" s="765">
        <v>19.899999999999999</v>
      </c>
      <c r="AO619" s="767" t="s">
        <v>1194</v>
      </c>
      <c r="AP619" s="767">
        <v>51</v>
      </c>
      <c r="AQ619" s="769">
        <v>36</v>
      </c>
      <c r="AR619" s="770">
        <v>14</v>
      </c>
      <c r="AS619" s="766">
        <v>82</v>
      </c>
      <c r="AT619" s="768">
        <v>122</v>
      </c>
      <c r="AU619" s="767">
        <v>5.92</v>
      </c>
      <c r="AV619" s="768">
        <v>24.6</v>
      </c>
      <c r="AW619" s="765">
        <v>365</v>
      </c>
      <c r="AX619" s="765">
        <v>2010</v>
      </c>
      <c r="AY619" s="765">
        <v>157</v>
      </c>
      <c r="AZ619" s="765">
        <v>2840</v>
      </c>
      <c r="BA619" s="765">
        <v>167</v>
      </c>
      <c r="BB619" s="765">
        <v>904</v>
      </c>
      <c r="BC619" s="765">
        <v>94.3</v>
      </c>
      <c r="BD619" s="765">
        <v>1370</v>
      </c>
      <c r="BE619" s="767">
        <v>0.59145798112605519</v>
      </c>
      <c r="BF619" s="768">
        <v>340.2</v>
      </c>
      <c r="BG619" s="765">
        <v>2230</v>
      </c>
      <c r="BH619" s="765">
        <v>4840</v>
      </c>
      <c r="BI619" s="765">
        <v>31500</v>
      </c>
      <c r="BJ619" s="765">
        <v>57.6</v>
      </c>
      <c r="BK619" s="765">
        <v>602</v>
      </c>
      <c r="BL619" s="771">
        <v>1400</v>
      </c>
    </row>
    <row r="620" spans="35:64" x14ac:dyDescent="0.3">
      <c r="AI620" s="763" t="s">
        <v>1195</v>
      </c>
      <c r="AJ620" s="764">
        <v>12900</v>
      </c>
      <c r="AK620" s="765">
        <v>357</v>
      </c>
      <c r="AL620" s="765">
        <v>10.5</v>
      </c>
      <c r="AM620" s="765">
        <v>255</v>
      </c>
      <c r="AN620" s="765">
        <v>18.3</v>
      </c>
      <c r="AO620" s="767" t="s">
        <v>1196</v>
      </c>
      <c r="AP620" s="767">
        <v>50</v>
      </c>
      <c r="AQ620" s="769">
        <v>36</v>
      </c>
      <c r="AR620" s="770">
        <v>14</v>
      </c>
      <c r="AS620" s="766">
        <v>74</v>
      </c>
      <c r="AT620" s="768">
        <v>110</v>
      </c>
      <c r="AU620" s="767">
        <v>6.43</v>
      </c>
      <c r="AV620" s="768">
        <v>28.1</v>
      </c>
      <c r="AW620" s="765">
        <v>331</v>
      </c>
      <c r="AX620" s="765">
        <v>1840</v>
      </c>
      <c r="AY620" s="765">
        <v>156</v>
      </c>
      <c r="AZ620" s="765">
        <v>2560</v>
      </c>
      <c r="BA620" s="765">
        <v>151</v>
      </c>
      <c r="BB620" s="765">
        <v>817</v>
      </c>
      <c r="BC620" s="765">
        <v>94</v>
      </c>
      <c r="BD620" s="765">
        <v>1240</v>
      </c>
      <c r="BE620" s="767">
        <v>0.58841751807801224</v>
      </c>
      <c r="BF620" s="768">
        <v>338</v>
      </c>
      <c r="BG620" s="765">
        <v>1680</v>
      </c>
      <c r="BH620" s="765">
        <v>4310</v>
      </c>
      <c r="BI620" s="765">
        <v>31200</v>
      </c>
      <c r="BJ620" s="765">
        <v>51.8</v>
      </c>
      <c r="BK620" s="765">
        <v>544</v>
      </c>
      <c r="BL620" s="771">
        <v>1270</v>
      </c>
    </row>
    <row r="621" spans="35:64" x14ac:dyDescent="0.3">
      <c r="AI621" s="763" t="s">
        <v>1197</v>
      </c>
      <c r="AJ621" s="764">
        <v>11600</v>
      </c>
      <c r="AK621" s="765">
        <v>353</v>
      </c>
      <c r="AL621" s="765">
        <v>9.5</v>
      </c>
      <c r="AM621" s="765">
        <v>254</v>
      </c>
      <c r="AN621" s="765">
        <v>16.399999999999999</v>
      </c>
      <c r="AO621" s="767" t="s">
        <v>1198</v>
      </c>
      <c r="AP621" s="767">
        <v>44</v>
      </c>
      <c r="AQ621" s="769">
        <v>27</v>
      </c>
      <c r="AR621" s="770">
        <v>14</v>
      </c>
      <c r="AS621" s="766">
        <v>68</v>
      </c>
      <c r="AT621" s="768">
        <v>101</v>
      </c>
      <c r="AU621" s="767">
        <v>6.97</v>
      </c>
      <c r="AV621" s="768">
        <v>30.5</v>
      </c>
      <c r="AW621" s="765">
        <v>301</v>
      </c>
      <c r="AX621" s="765">
        <v>1690</v>
      </c>
      <c r="AY621" s="765">
        <v>154</v>
      </c>
      <c r="AZ621" s="765">
        <v>2270</v>
      </c>
      <c r="BA621" s="765">
        <v>61.5</v>
      </c>
      <c r="BB621" s="765">
        <v>478</v>
      </c>
      <c r="BC621" s="765">
        <v>63</v>
      </c>
      <c r="BD621" s="765">
        <v>732</v>
      </c>
      <c r="BE621" s="767">
        <v>0.40628801183775282</v>
      </c>
      <c r="BF621" s="768">
        <v>341.3</v>
      </c>
      <c r="BG621" s="765">
        <v>2110</v>
      </c>
      <c r="BH621" s="765">
        <v>1790</v>
      </c>
      <c r="BI621" s="765">
        <v>21900</v>
      </c>
      <c r="BJ621" s="765">
        <v>30.6</v>
      </c>
      <c r="BK621" s="765">
        <v>452</v>
      </c>
      <c r="BL621" s="771">
        <v>1120</v>
      </c>
    </row>
    <row r="622" spans="35:64" x14ac:dyDescent="0.3">
      <c r="AI622" s="763" t="s">
        <v>1199</v>
      </c>
      <c r="AJ622" s="764">
        <v>10100</v>
      </c>
      <c r="AK622" s="765">
        <v>354</v>
      </c>
      <c r="AL622" s="765">
        <v>9.4</v>
      </c>
      <c r="AM622" s="765">
        <v>205</v>
      </c>
      <c r="AN622" s="765">
        <v>16.8</v>
      </c>
      <c r="AO622" s="767" t="s">
        <v>1200</v>
      </c>
      <c r="AP622" s="767">
        <v>42</v>
      </c>
      <c r="AQ622" s="769">
        <v>26</v>
      </c>
      <c r="AR622" s="770">
        <v>14</v>
      </c>
      <c r="AS622" s="766">
        <v>61</v>
      </c>
      <c r="AT622" s="768">
        <v>91</v>
      </c>
      <c r="AU622" s="767">
        <v>7.74</v>
      </c>
      <c r="AV622" s="768">
        <v>33.700000000000003</v>
      </c>
      <c r="AW622" s="765">
        <v>267</v>
      </c>
      <c r="AX622" s="765">
        <v>1510</v>
      </c>
      <c r="AY622" s="765">
        <v>154</v>
      </c>
      <c r="AZ622" s="765">
        <v>2060</v>
      </c>
      <c r="BA622" s="765">
        <v>55.7</v>
      </c>
      <c r="BB622" s="765">
        <v>435</v>
      </c>
      <c r="BC622" s="765">
        <v>63</v>
      </c>
      <c r="BD622" s="765">
        <v>664</v>
      </c>
      <c r="BE622" s="767">
        <v>0.40342365178863759</v>
      </c>
      <c r="BF622" s="768">
        <v>340.1</v>
      </c>
      <c r="BG622" s="765">
        <v>1600</v>
      </c>
      <c r="BH622" s="765">
        <v>1610</v>
      </c>
      <c r="BI622" s="765">
        <v>21800</v>
      </c>
      <c r="BJ622" s="765">
        <v>27.7</v>
      </c>
      <c r="BK622" s="765">
        <v>414</v>
      </c>
      <c r="BL622" s="771">
        <v>1010</v>
      </c>
    </row>
    <row r="623" spans="35:64" x14ac:dyDescent="0.3">
      <c r="AI623" s="763" t="s">
        <v>1201</v>
      </c>
      <c r="AJ623" s="764">
        <v>9100</v>
      </c>
      <c r="AK623" s="765">
        <v>350</v>
      </c>
      <c r="AL623" s="765">
        <v>8.6</v>
      </c>
      <c r="AM623" s="765">
        <v>204</v>
      </c>
      <c r="AN623" s="765">
        <v>15.1</v>
      </c>
      <c r="AO623" s="767" t="s">
        <v>1202</v>
      </c>
      <c r="AP623" s="767">
        <v>40</v>
      </c>
      <c r="AQ623" s="769">
        <v>26</v>
      </c>
      <c r="AR623" s="770">
        <v>14</v>
      </c>
      <c r="AS623" s="766">
        <v>53</v>
      </c>
      <c r="AT623" s="768">
        <v>79</v>
      </c>
      <c r="AU623" s="767">
        <v>6.1</v>
      </c>
      <c r="AV623" s="768">
        <v>34.1</v>
      </c>
      <c r="AW623" s="765">
        <v>226</v>
      </c>
      <c r="AX623" s="765">
        <v>1280</v>
      </c>
      <c r="AY623" s="765">
        <v>153</v>
      </c>
      <c r="AZ623" s="765">
        <v>1880</v>
      </c>
      <c r="BA623" s="765">
        <v>50.6</v>
      </c>
      <c r="BB623" s="765">
        <v>397</v>
      </c>
      <c r="BC623" s="765">
        <v>62.7</v>
      </c>
      <c r="BD623" s="765">
        <v>605</v>
      </c>
      <c r="BE623" s="767">
        <v>0.4003467225208947</v>
      </c>
      <c r="BF623" s="768">
        <v>338.7</v>
      </c>
      <c r="BG623" s="765">
        <v>1250</v>
      </c>
      <c r="BH623" s="765">
        <v>1450</v>
      </c>
      <c r="BI623" s="765">
        <v>21600</v>
      </c>
      <c r="BJ623" s="765">
        <v>25.2</v>
      </c>
      <c r="BK623" s="765">
        <v>379</v>
      </c>
      <c r="BL623" s="771">
        <v>925</v>
      </c>
    </row>
    <row r="624" spans="35:64" x14ac:dyDescent="0.3">
      <c r="AI624" s="763" t="s">
        <v>1203</v>
      </c>
      <c r="AJ624" s="764">
        <v>8140</v>
      </c>
      <c r="AK624" s="765">
        <v>347</v>
      </c>
      <c r="AL624" s="765">
        <v>7.7</v>
      </c>
      <c r="AM624" s="765">
        <v>203</v>
      </c>
      <c r="AN624" s="765">
        <v>13.5</v>
      </c>
      <c r="AO624" s="773" t="s">
        <v>1204</v>
      </c>
      <c r="AP624" s="773">
        <v>38</v>
      </c>
      <c r="AQ624" s="769">
        <v>25</v>
      </c>
      <c r="AR624" s="770">
        <v>14</v>
      </c>
      <c r="AS624" s="766">
        <v>48</v>
      </c>
      <c r="AT624" s="768">
        <v>72</v>
      </c>
      <c r="AU624" s="767">
        <v>6.75</v>
      </c>
      <c r="AV624" s="768">
        <v>37.200000000000003</v>
      </c>
      <c r="AW624" s="765">
        <v>201</v>
      </c>
      <c r="AX624" s="765">
        <v>1150</v>
      </c>
      <c r="AY624" s="765">
        <v>152</v>
      </c>
      <c r="AZ624" s="765">
        <v>1680</v>
      </c>
      <c r="BA624" s="765">
        <v>44.8</v>
      </c>
      <c r="BB624" s="765">
        <v>353</v>
      </c>
      <c r="BC624" s="765">
        <v>62.3</v>
      </c>
      <c r="BD624" s="765">
        <v>538</v>
      </c>
      <c r="BE624" s="767">
        <v>0.39744950468894719</v>
      </c>
      <c r="BF624" s="768">
        <v>336.6</v>
      </c>
      <c r="BG624" s="765">
        <v>914</v>
      </c>
      <c r="BH624" s="765">
        <v>1270</v>
      </c>
      <c r="BI624" s="765">
        <v>21400</v>
      </c>
      <c r="BJ624" s="765">
        <v>22.3</v>
      </c>
      <c r="BK624" s="765">
        <v>337</v>
      </c>
      <c r="BL624" s="771">
        <v>823</v>
      </c>
    </row>
    <row r="625" spans="35:64" x14ac:dyDescent="0.3">
      <c r="AI625" s="763" t="s">
        <v>1205</v>
      </c>
      <c r="AJ625" s="764">
        <v>7220</v>
      </c>
      <c r="AK625" s="765">
        <v>358</v>
      </c>
      <c r="AL625" s="765">
        <v>7.9</v>
      </c>
      <c r="AM625" s="765">
        <v>172</v>
      </c>
      <c r="AN625" s="765">
        <v>13.1</v>
      </c>
      <c r="AO625" s="773" t="s">
        <v>1206</v>
      </c>
      <c r="AP625" s="773">
        <v>39</v>
      </c>
      <c r="AQ625" s="769">
        <v>25</v>
      </c>
      <c r="AR625" s="770">
        <v>14</v>
      </c>
      <c r="AS625" s="766">
        <v>43</v>
      </c>
      <c r="AT625" s="768">
        <v>64</v>
      </c>
      <c r="AU625" s="767">
        <v>7.52</v>
      </c>
      <c r="AV625" s="768">
        <v>41.6</v>
      </c>
      <c r="AW625" s="765">
        <v>178</v>
      </c>
      <c r="AX625" s="765">
        <v>1030</v>
      </c>
      <c r="AY625" s="765">
        <v>150</v>
      </c>
      <c r="AZ625" s="765">
        <v>1430</v>
      </c>
      <c r="BA625" s="765">
        <v>24.2</v>
      </c>
      <c r="BB625" s="765">
        <v>236</v>
      </c>
      <c r="BC625" s="765">
        <v>48.9</v>
      </c>
      <c r="BD625" s="765">
        <v>362</v>
      </c>
      <c r="BE625" s="767">
        <v>0.31738620094749959</v>
      </c>
      <c r="BF625" s="768">
        <v>337.2</v>
      </c>
      <c r="BG625" s="765">
        <v>811</v>
      </c>
      <c r="BH625" s="765">
        <v>687</v>
      </c>
      <c r="BI625" s="765">
        <v>17300</v>
      </c>
      <c r="BJ625" s="765">
        <v>14.9</v>
      </c>
      <c r="BK625" s="765">
        <v>277</v>
      </c>
      <c r="BL625" s="771">
        <v>701</v>
      </c>
    </row>
    <row r="626" spans="35:64" x14ac:dyDescent="0.3">
      <c r="AI626" s="763" t="s">
        <v>1207</v>
      </c>
      <c r="AJ626" s="764">
        <v>6450</v>
      </c>
      <c r="AK626" s="765">
        <v>355</v>
      </c>
      <c r="AL626" s="765">
        <v>7.2</v>
      </c>
      <c r="AM626" s="765">
        <v>171</v>
      </c>
      <c r="AN626" s="765">
        <v>11.6</v>
      </c>
      <c r="AO626" s="773" t="s">
        <v>1208</v>
      </c>
      <c r="AP626" s="773">
        <v>37</v>
      </c>
      <c r="AQ626" s="772">
        <v>25</v>
      </c>
      <c r="AR626" s="770">
        <v>14</v>
      </c>
      <c r="AS626" s="766">
        <v>38</v>
      </c>
      <c r="AT626" s="768">
        <v>57</v>
      </c>
      <c r="AU626" s="767">
        <v>6.56</v>
      </c>
      <c r="AV626" s="768">
        <v>42</v>
      </c>
      <c r="AW626" s="765">
        <v>161</v>
      </c>
      <c r="AX626" s="765">
        <v>897</v>
      </c>
      <c r="AY626" s="765">
        <v>149</v>
      </c>
      <c r="AZ626" s="765">
        <v>1280</v>
      </c>
      <c r="BA626" s="765">
        <v>21.4</v>
      </c>
      <c r="BB626" s="765">
        <v>210</v>
      </c>
      <c r="BC626" s="765">
        <v>48.5</v>
      </c>
      <c r="BD626" s="765">
        <v>322</v>
      </c>
      <c r="BE626" s="767">
        <v>0.313900737278692</v>
      </c>
      <c r="BF626" s="768">
        <v>334.9</v>
      </c>
      <c r="BG626" s="765">
        <v>601</v>
      </c>
      <c r="BH626" s="765">
        <v>600</v>
      </c>
      <c r="BI626" s="765">
        <v>17100</v>
      </c>
      <c r="BJ626" s="765">
        <v>13.2</v>
      </c>
      <c r="BK626" s="765">
        <v>247</v>
      </c>
      <c r="BL626" s="771">
        <v>626</v>
      </c>
    </row>
    <row r="627" spans="35:64" x14ac:dyDescent="0.3">
      <c r="AI627" s="763" t="s">
        <v>1209</v>
      </c>
      <c r="AJ627" s="764">
        <v>5730</v>
      </c>
      <c r="AK627" s="765">
        <v>352</v>
      </c>
      <c r="AL627" s="765">
        <v>6.9</v>
      </c>
      <c r="AM627" s="765">
        <v>171</v>
      </c>
      <c r="AN627" s="765">
        <v>9.8000000000000007</v>
      </c>
      <c r="AO627" s="773" t="s">
        <v>1210</v>
      </c>
      <c r="AP627" s="773">
        <v>35</v>
      </c>
      <c r="AQ627" s="770">
        <v>24</v>
      </c>
      <c r="AR627" s="770">
        <v>14</v>
      </c>
      <c r="AS627" s="766">
        <v>34</v>
      </c>
      <c r="AT627" s="765">
        <v>51</v>
      </c>
      <c r="AU627" s="767">
        <v>7.37</v>
      </c>
      <c r="AV627" s="767">
        <v>46.1</v>
      </c>
      <c r="AW627" s="765">
        <v>141</v>
      </c>
      <c r="AX627" s="765">
        <v>796</v>
      </c>
      <c r="AY627" s="765">
        <v>148</v>
      </c>
      <c r="AZ627" s="765">
        <v>1140</v>
      </c>
      <c r="BA627" s="765">
        <v>18.8</v>
      </c>
      <c r="BB627" s="765">
        <v>186</v>
      </c>
      <c r="BC627" s="765">
        <v>48.1</v>
      </c>
      <c r="BD627" s="765">
        <v>284</v>
      </c>
      <c r="BE627" s="767">
        <v>0.310422842742058</v>
      </c>
      <c r="BF627" s="768">
        <v>333.5</v>
      </c>
      <c r="BG627" s="765">
        <v>436</v>
      </c>
      <c r="BH627" s="765">
        <v>524</v>
      </c>
      <c r="BI627" s="765">
        <v>16900</v>
      </c>
      <c r="BJ627" s="765">
        <v>11.6</v>
      </c>
      <c r="BK627" s="765">
        <v>220</v>
      </c>
      <c r="BL627" s="771">
        <v>556</v>
      </c>
    </row>
    <row r="628" spans="35:64" x14ac:dyDescent="0.3">
      <c r="AI628" s="763" t="s">
        <v>1211</v>
      </c>
      <c r="AJ628" s="764">
        <v>4980</v>
      </c>
      <c r="AK628" s="765">
        <v>353</v>
      </c>
      <c r="AL628" s="765">
        <v>6.5</v>
      </c>
      <c r="AM628" s="765">
        <v>128</v>
      </c>
      <c r="AN628" s="765">
        <v>10.7</v>
      </c>
      <c r="AO628" s="773" t="s">
        <v>1212</v>
      </c>
      <c r="AP628" s="773">
        <v>30</v>
      </c>
      <c r="AQ628" s="769">
        <v>19</v>
      </c>
      <c r="AR628" s="770">
        <v>14</v>
      </c>
      <c r="AS628" s="766">
        <v>30</v>
      </c>
      <c r="AT628" s="765">
        <v>45</v>
      </c>
      <c r="AU628" s="767">
        <v>8.7200000000000006</v>
      </c>
      <c r="AV628" s="767">
        <v>48.2</v>
      </c>
      <c r="AW628" s="765">
        <v>122</v>
      </c>
      <c r="AX628" s="765">
        <v>691</v>
      </c>
      <c r="AY628" s="765">
        <v>149</v>
      </c>
      <c r="AZ628" s="765">
        <v>1010</v>
      </c>
      <c r="BA628" s="765">
        <v>11.1</v>
      </c>
      <c r="BB628" s="765">
        <v>129</v>
      </c>
      <c r="BC628" s="765">
        <v>39.299999999999997</v>
      </c>
      <c r="BD628" s="765">
        <v>200</v>
      </c>
      <c r="BE628" s="767">
        <v>0.25995101745847038</v>
      </c>
      <c r="BF628" s="768">
        <v>344.9</v>
      </c>
      <c r="BG628" s="765">
        <v>334</v>
      </c>
      <c r="BH628" s="765">
        <v>331</v>
      </c>
      <c r="BI628" s="765">
        <v>14800</v>
      </c>
      <c r="BJ628" s="765">
        <v>8.35</v>
      </c>
      <c r="BK628" s="765">
        <v>185</v>
      </c>
      <c r="BL628" s="771">
        <v>497</v>
      </c>
    </row>
    <row r="629" spans="35:64" x14ac:dyDescent="0.3">
      <c r="AI629" s="763" t="s">
        <v>1213</v>
      </c>
      <c r="AJ629" s="764">
        <v>4170</v>
      </c>
      <c r="AK629" s="765">
        <v>349</v>
      </c>
      <c r="AL629" s="765">
        <v>5.8</v>
      </c>
      <c r="AM629" s="765">
        <v>127</v>
      </c>
      <c r="AN629" s="765">
        <v>8.5</v>
      </c>
      <c r="AO629" s="767" t="s">
        <v>1214</v>
      </c>
      <c r="AP629" s="767">
        <v>28</v>
      </c>
      <c r="AQ629" s="769">
        <v>19</v>
      </c>
      <c r="AR629" s="770">
        <v>14</v>
      </c>
      <c r="AS629" s="766">
        <v>26</v>
      </c>
      <c r="AT629" s="765">
        <v>39</v>
      </c>
      <c r="AU629" s="767">
        <v>5.98</v>
      </c>
      <c r="AV629" s="767">
        <v>51</v>
      </c>
      <c r="AW629" s="765">
        <v>102</v>
      </c>
      <c r="AX629" s="765">
        <v>580</v>
      </c>
      <c r="AY629" s="765">
        <v>148</v>
      </c>
      <c r="AZ629" s="765">
        <v>894</v>
      </c>
      <c r="BA629" s="765">
        <v>9.68</v>
      </c>
      <c r="BB629" s="765">
        <v>113</v>
      </c>
      <c r="BC629" s="765">
        <v>38.799999999999997</v>
      </c>
      <c r="BD629" s="765">
        <v>174</v>
      </c>
      <c r="BE629" s="767">
        <v>0.25687599441609871</v>
      </c>
      <c r="BF629" s="768">
        <v>343.4</v>
      </c>
      <c r="BG629" s="765">
        <v>238</v>
      </c>
      <c r="BH629" s="765">
        <v>285</v>
      </c>
      <c r="BI629" s="765">
        <v>14700</v>
      </c>
      <c r="BJ629" s="765">
        <v>7.28</v>
      </c>
      <c r="BK629" s="765">
        <v>163</v>
      </c>
      <c r="BL629" s="771">
        <v>440</v>
      </c>
    </row>
    <row r="630" spans="35:64" x14ac:dyDescent="0.3">
      <c r="AI630" s="763" t="s">
        <v>1215</v>
      </c>
      <c r="AJ630" s="764">
        <v>63800</v>
      </c>
      <c r="AK630" s="765">
        <v>427</v>
      </c>
      <c r="AL630" s="765">
        <v>45.1</v>
      </c>
      <c r="AM630" s="765">
        <v>340</v>
      </c>
      <c r="AN630" s="765">
        <v>75.099999999999994</v>
      </c>
      <c r="AO630" s="767" t="s">
        <v>1216</v>
      </c>
      <c r="AP630" s="767">
        <v>27</v>
      </c>
      <c r="AQ630" s="769">
        <v>19</v>
      </c>
      <c r="AR630" s="770">
        <v>14</v>
      </c>
      <c r="AS630" s="766">
        <v>22</v>
      </c>
      <c r="AT630" s="765">
        <v>33</v>
      </c>
      <c r="AU630" s="767">
        <v>7.47</v>
      </c>
      <c r="AV630" s="767">
        <v>57.2</v>
      </c>
      <c r="AW630" s="765">
        <v>82.7</v>
      </c>
      <c r="AX630" s="765">
        <v>474</v>
      </c>
      <c r="AY630" s="765">
        <v>146</v>
      </c>
      <c r="AZ630" s="765">
        <v>779</v>
      </c>
      <c r="BA630" s="765">
        <v>8.18</v>
      </c>
      <c r="BB630" s="765">
        <v>95.7</v>
      </c>
      <c r="BC630" s="765">
        <v>37.799999999999997</v>
      </c>
      <c r="BD630" s="765">
        <v>148</v>
      </c>
      <c r="BE630" s="767">
        <v>0.25295820886581177</v>
      </c>
      <c r="BF630" s="768">
        <v>342.2</v>
      </c>
      <c r="BG630" s="765">
        <v>160</v>
      </c>
      <c r="BH630" s="765">
        <v>239</v>
      </c>
      <c r="BI630" s="765">
        <v>14600</v>
      </c>
      <c r="BJ630" s="765">
        <v>6.13</v>
      </c>
      <c r="BK630" s="765">
        <v>138</v>
      </c>
      <c r="BL630" s="771">
        <v>382</v>
      </c>
    </row>
    <row r="631" spans="35:64" x14ac:dyDescent="0.3">
      <c r="AI631" s="763" t="s">
        <v>1217</v>
      </c>
      <c r="AJ631" s="764">
        <v>57800</v>
      </c>
      <c r="AK631" s="765">
        <v>415</v>
      </c>
      <c r="AL631" s="765">
        <v>41.3</v>
      </c>
      <c r="AM631" s="765">
        <v>336</v>
      </c>
      <c r="AN631" s="765">
        <v>68.7</v>
      </c>
      <c r="AO631" s="767" t="s">
        <v>1218</v>
      </c>
      <c r="AP631" s="767">
        <v>27</v>
      </c>
      <c r="AQ631" s="769">
        <v>18</v>
      </c>
      <c r="AR631" s="770">
        <v>14</v>
      </c>
      <c r="AS631" s="766">
        <v>336</v>
      </c>
      <c r="AT631" s="765">
        <v>500</v>
      </c>
      <c r="AU631" s="767">
        <v>2.2599999999999998</v>
      </c>
      <c r="AV631" s="767">
        <v>6.14</v>
      </c>
      <c r="AW631" s="765">
        <v>1690</v>
      </c>
      <c r="AX631" s="765">
        <v>7910</v>
      </c>
      <c r="AY631" s="765">
        <v>143</v>
      </c>
      <c r="AZ631" s="765">
        <v>662</v>
      </c>
      <c r="BA631" s="765">
        <v>3.75</v>
      </c>
      <c r="BB631" s="765">
        <v>58.6</v>
      </c>
      <c r="BC631" s="765">
        <v>27.4</v>
      </c>
      <c r="BD631" s="765">
        <v>91.7</v>
      </c>
      <c r="BE631" s="767">
        <v>0.18712938549713221</v>
      </c>
      <c r="BF631" s="768">
        <v>342.3</v>
      </c>
      <c r="BG631" s="765">
        <v>151</v>
      </c>
      <c r="BH631" s="765">
        <v>110</v>
      </c>
      <c r="BI631" s="765">
        <v>11000</v>
      </c>
      <c r="BJ631" s="765">
        <v>3.75</v>
      </c>
      <c r="BK631" s="765">
        <v>111</v>
      </c>
      <c r="BL631" s="771">
        <v>324</v>
      </c>
    </row>
    <row r="632" spans="35:64" x14ac:dyDescent="0.3">
      <c r="AI632" s="763" t="s">
        <v>1219</v>
      </c>
      <c r="AJ632" s="764">
        <v>52900</v>
      </c>
      <c r="AK632" s="765">
        <v>403</v>
      </c>
      <c r="AL632" s="765">
        <v>38.9</v>
      </c>
      <c r="AM632" s="765">
        <v>334</v>
      </c>
      <c r="AN632" s="765">
        <v>62.7</v>
      </c>
      <c r="AO632" s="767" t="s">
        <v>1220</v>
      </c>
      <c r="AP632" s="767">
        <v>25</v>
      </c>
      <c r="AQ632" s="769">
        <v>18</v>
      </c>
      <c r="AR632" s="770">
        <v>14</v>
      </c>
      <c r="AS632" s="766">
        <v>305</v>
      </c>
      <c r="AT632" s="765">
        <v>454</v>
      </c>
      <c r="AU632" s="767">
        <v>2.4500000000000002</v>
      </c>
      <c r="AV632" s="767">
        <v>6.72</v>
      </c>
      <c r="AW632" s="765">
        <v>1480</v>
      </c>
      <c r="AX632" s="765">
        <v>7130</v>
      </c>
      <c r="AY632" s="765">
        <v>141</v>
      </c>
      <c r="AZ632" s="765">
        <v>542</v>
      </c>
      <c r="BA632" s="765">
        <v>2.91</v>
      </c>
      <c r="BB632" s="765">
        <v>45.8</v>
      </c>
      <c r="BC632" s="765">
        <v>26.4</v>
      </c>
      <c r="BD632" s="765">
        <v>71.8</v>
      </c>
      <c r="BE632" s="767">
        <v>0.18177785318938219</v>
      </c>
      <c r="BF632" s="768">
        <v>340.5</v>
      </c>
      <c r="BG632" s="765">
        <v>85.9</v>
      </c>
      <c r="BH632" s="765">
        <v>84.3</v>
      </c>
      <c r="BI632" s="765">
        <v>10800</v>
      </c>
      <c r="BJ632" s="765">
        <v>2.92</v>
      </c>
      <c r="BK632" s="765">
        <v>87.7</v>
      </c>
      <c r="BL632" s="771">
        <v>264</v>
      </c>
    </row>
    <row r="633" spans="35:64" x14ac:dyDescent="0.3">
      <c r="AI633" s="763" t="s">
        <v>1221</v>
      </c>
      <c r="AJ633" s="764">
        <v>47700</v>
      </c>
      <c r="AK633" s="765">
        <v>391</v>
      </c>
      <c r="AL633" s="765">
        <v>35.4</v>
      </c>
      <c r="AM633" s="765">
        <v>330</v>
      </c>
      <c r="AN633" s="765">
        <v>57.2</v>
      </c>
      <c r="AO633" s="767" t="s">
        <v>1222</v>
      </c>
      <c r="AP633" s="767">
        <v>97</v>
      </c>
      <c r="AQ633" s="769">
        <v>43</v>
      </c>
      <c r="AR633" s="770">
        <v>12</v>
      </c>
      <c r="AS633" s="766">
        <v>279</v>
      </c>
      <c r="AT633" s="765">
        <v>415</v>
      </c>
      <c r="AU633" s="767">
        <v>2.66</v>
      </c>
      <c r="AV633" s="767">
        <v>7.14</v>
      </c>
      <c r="AW633" s="765">
        <v>1300</v>
      </c>
      <c r="AX633" s="765">
        <v>6450</v>
      </c>
      <c r="AY633" s="765">
        <v>163</v>
      </c>
      <c r="AZ633" s="765">
        <v>9880</v>
      </c>
      <c r="BA633" s="765">
        <v>494</v>
      </c>
      <c r="BB633" s="765">
        <v>2910</v>
      </c>
      <c r="BC633" s="765">
        <v>88</v>
      </c>
      <c r="BD633" s="765">
        <v>4490</v>
      </c>
      <c r="BE633" s="767">
        <v>0.58954417569966888</v>
      </c>
      <c r="BF633" s="768">
        <v>351.9</v>
      </c>
      <c r="BG633" s="765">
        <v>101000</v>
      </c>
      <c r="BH633" s="765">
        <v>15300</v>
      </c>
      <c r="BI633" s="765">
        <v>29900</v>
      </c>
      <c r="BJ633" s="765">
        <v>191</v>
      </c>
      <c r="BK633" s="765">
        <v>1950</v>
      </c>
      <c r="BL633" s="771">
        <v>4920</v>
      </c>
    </row>
    <row r="634" spans="35:64" x14ac:dyDescent="0.3">
      <c r="AI634" s="763" t="s">
        <v>1223</v>
      </c>
      <c r="AJ634" s="764">
        <v>43700</v>
      </c>
      <c r="AK634" s="765">
        <v>382</v>
      </c>
      <c r="AL634" s="765">
        <v>32.6</v>
      </c>
      <c r="AM634" s="765">
        <v>328</v>
      </c>
      <c r="AN634" s="765">
        <v>52.6</v>
      </c>
      <c r="AO634" s="767" t="s">
        <v>1224</v>
      </c>
      <c r="AP634" s="767">
        <v>91</v>
      </c>
      <c r="AQ634" s="769">
        <v>41</v>
      </c>
      <c r="AR634" s="770">
        <v>12</v>
      </c>
      <c r="AS634" s="766">
        <v>252</v>
      </c>
      <c r="AT634" s="765">
        <v>375</v>
      </c>
      <c r="AU634" s="767">
        <v>2.88</v>
      </c>
      <c r="AV634" s="768">
        <v>7.81</v>
      </c>
      <c r="AW634" s="765">
        <v>1130</v>
      </c>
      <c r="AX634" s="765">
        <v>5770</v>
      </c>
      <c r="AY634" s="765">
        <v>160</v>
      </c>
      <c r="AZ634" s="765">
        <v>8820</v>
      </c>
      <c r="BA634" s="765">
        <v>436</v>
      </c>
      <c r="BB634" s="765">
        <v>2600</v>
      </c>
      <c r="BC634" s="765">
        <v>86.8</v>
      </c>
      <c r="BD634" s="765">
        <v>4000</v>
      </c>
      <c r="BE634" s="767">
        <v>0.5789548298261411</v>
      </c>
      <c r="BF634" s="768">
        <v>346.3</v>
      </c>
      <c r="BG634" s="765">
        <v>77200</v>
      </c>
      <c r="BH634" s="765">
        <v>13100</v>
      </c>
      <c r="BI634" s="765">
        <v>29100</v>
      </c>
      <c r="BJ634" s="765">
        <v>168</v>
      </c>
      <c r="BK634" s="765">
        <v>1750</v>
      </c>
      <c r="BL634" s="771">
        <v>4390</v>
      </c>
    </row>
    <row r="635" spans="35:64" x14ac:dyDescent="0.3">
      <c r="AI635" s="763" t="s">
        <v>1225</v>
      </c>
      <c r="AJ635" s="764">
        <v>39900</v>
      </c>
      <c r="AK635" s="765">
        <v>374</v>
      </c>
      <c r="AL635" s="765">
        <v>30</v>
      </c>
      <c r="AM635" s="765">
        <v>325</v>
      </c>
      <c r="AN635" s="765">
        <v>48.3</v>
      </c>
      <c r="AO635" s="767" t="s">
        <v>1226</v>
      </c>
      <c r="AP635" s="767">
        <v>85</v>
      </c>
      <c r="AQ635" s="769">
        <v>40</v>
      </c>
      <c r="AR635" s="770">
        <v>12</v>
      </c>
      <c r="AS635" s="766">
        <v>230</v>
      </c>
      <c r="AT635" s="765">
        <v>342</v>
      </c>
      <c r="AU635" s="767">
        <v>3.12</v>
      </c>
      <c r="AV635" s="768">
        <v>8.49</v>
      </c>
      <c r="AW635" s="765">
        <v>1010</v>
      </c>
      <c r="AX635" s="765">
        <v>5260</v>
      </c>
      <c r="AY635" s="765">
        <v>157</v>
      </c>
      <c r="AZ635" s="765">
        <v>7900</v>
      </c>
      <c r="BA635" s="765">
        <v>391</v>
      </c>
      <c r="BB635" s="765">
        <v>2340</v>
      </c>
      <c r="BC635" s="765">
        <v>86</v>
      </c>
      <c r="BD635" s="765">
        <v>3610</v>
      </c>
      <c r="BE635" s="767">
        <v>0.57086569124743314</v>
      </c>
      <c r="BF635" s="768">
        <v>340.3</v>
      </c>
      <c r="BG635" s="765">
        <v>59500</v>
      </c>
      <c r="BH635" s="765">
        <v>11300</v>
      </c>
      <c r="BI635" s="765">
        <v>28400</v>
      </c>
      <c r="BJ635" s="765">
        <v>149</v>
      </c>
      <c r="BK635" s="765">
        <v>1570</v>
      </c>
      <c r="BL635" s="771">
        <v>3940</v>
      </c>
    </row>
    <row r="636" spans="35:64" x14ac:dyDescent="0.3">
      <c r="AI636" s="763" t="s">
        <v>1227</v>
      </c>
      <c r="AJ636" s="764">
        <v>36000</v>
      </c>
      <c r="AK636" s="765">
        <v>365</v>
      </c>
      <c r="AL636" s="765">
        <v>26.9</v>
      </c>
      <c r="AM636" s="765">
        <v>322</v>
      </c>
      <c r="AN636" s="765">
        <v>44.1</v>
      </c>
      <c r="AO636" s="767" t="s">
        <v>1228</v>
      </c>
      <c r="AP636" s="767">
        <v>79</v>
      </c>
      <c r="AQ636" s="769">
        <v>38</v>
      </c>
      <c r="AR636" s="770">
        <v>12</v>
      </c>
      <c r="AS636" s="766">
        <v>210</v>
      </c>
      <c r="AT636" s="765">
        <v>313</v>
      </c>
      <c r="AU636" s="767">
        <v>3.36</v>
      </c>
      <c r="AV636" s="768">
        <v>9.25</v>
      </c>
      <c r="AW636" s="765">
        <v>896</v>
      </c>
      <c r="AX636" s="765">
        <v>4790</v>
      </c>
      <c r="AY636" s="765">
        <v>154</v>
      </c>
      <c r="AZ636" s="765">
        <v>7000</v>
      </c>
      <c r="BA636" s="765">
        <v>344</v>
      </c>
      <c r="BB636" s="765">
        <v>2080</v>
      </c>
      <c r="BC636" s="765">
        <v>84.8</v>
      </c>
      <c r="BD636" s="765">
        <v>3210</v>
      </c>
      <c r="BE636" s="767">
        <v>0.56076343645201499</v>
      </c>
      <c r="BF636" s="768">
        <v>333.8</v>
      </c>
      <c r="BG636" s="765">
        <v>44900</v>
      </c>
      <c r="BH636" s="765">
        <v>9570</v>
      </c>
      <c r="BI636" s="765">
        <v>27500</v>
      </c>
      <c r="BJ636" s="765">
        <v>130</v>
      </c>
      <c r="BK636" s="765">
        <v>1410</v>
      </c>
      <c r="BL636" s="771">
        <v>3490</v>
      </c>
    </row>
    <row r="637" spans="35:64" x14ac:dyDescent="0.3">
      <c r="AI637" s="763" t="s">
        <v>1229</v>
      </c>
      <c r="AJ637" s="764">
        <v>32200</v>
      </c>
      <c r="AK637" s="765">
        <v>356</v>
      </c>
      <c r="AL637" s="765">
        <v>24.4</v>
      </c>
      <c r="AM637" s="765">
        <v>319</v>
      </c>
      <c r="AN637" s="765">
        <v>39.6</v>
      </c>
      <c r="AO637" s="767" t="s">
        <v>1230</v>
      </c>
      <c r="AP637" s="767">
        <v>74</v>
      </c>
      <c r="AQ637" s="769">
        <v>37</v>
      </c>
      <c r="AR637" s="770">
        <v>12</v>
      </c>
      <c r="AS637" s="766">
        <v>190</v>
      </c>
      <c r="AT637" s="765">
        <v>283</v>
      </c>
      <c r="AU637" s="767">
        <v>3.65</v>
      </c>
      <c r="AV637" s="768">
        <v>10.3</v>
      </c>
      <c r="AW637" s="765">
        <v>787</v>
      </c>
      <c r="AX637" s="765">
        <v>4310</v>
      </c>
      <c r="AY637" s="765">
        <v>152</v>
      </c>
      <c r="AZ637" s="765">
        <v>6330</v>
      </c>
      <c r="BA637" s="765">
        <v>310</v>
      </c>
      <c r="BB637" s="765">
        <v>1890</v>
      </c>
      <c r="BC637" s="765">
        <v>84.2</v>
      </c>
      <c r="BD637" s="765">
        <v>2910</v>
      </c>
      <c r="BE637" s="767">
        <v>0.55421155234529118</v>
      </c>
      <c r="BF637" s="768">
        <v>329.4</v>
      </c>
      <c r="BG637" s="765">
        <v>34900</v>
      </c>
      <c r="BH637" s="765">
        <v>8420</v>
      </c>
      <c r="BI637" s="765">
        <v>27000</v>
      </c>
      <c r="BJ637" s="765">
        <v>117</v>
      </c>
      <c r="BK637" s="765">
        <v>1280</v>
      </c>
      <c r="BL637" s="771">
        <v>3150</v>
      </c>
    </row>
    <row r="638" spans="35:64" x14ac:dyDescent="0.3">
      <c r="AI638" s="763" t="s">
        <v>1231</v>
      </c>
      <c r="AJ638" s="764">
        <v>28900</v>
      </c>
      <c r="AK638" s="765">
        <v>348</v>
      </c>
      <c r="AL638" s="765">
        <v>22.1</v>
      </c>
      <c r="AM638" s="765">
        <v>317</v>
      </c>
      <c r="AN638" s="765">
        <v>35.6</v>
      </c>
      <c r="AO638" s="767" t="s">
        <v>1232</v>
      </c>
      <c r="AP638" s="767">
        <v>70</v>
      </c>
      <c r="AQ638" s="769">
        <v>35</v>
      </c>
      <c r="AR638" s="770">
        <v>12</v>
      </c>
      <c r="AS638" s="766">
        <v>170</v>
      </c>
      <c r="AT638" s="765">
        <v>253</v>
      </c>
      <c r="AU638" s="767">
        <v>4.03</v>
      </c>
      <c r="AV638" s="768">
        <v>11.3</v>
      </c>
      <c r="AW638" s="765">
        <v>682</v>
      </c>
      <c r="AX638" s="765">
        <v>3830</v>
      </c>
      <c r="AY638" s="765">
        <v>150</v>
      </c>
      <c r="AZ638" s="765">
        <v>5720</v>
      </c>
      <c r="BA638" s="765">
        <v>277</v>
      </c>
      <c r="BB638" s="765">
        <v>1700</v>
      </c>
      <c r="BC638" s="765">
        <v>83.3</v>
      </c>
      <c r="BD638" s="765">
        <v>2620</v>
      </c>
      <c r="BE638" s="767">
        <v>0.5457880471676323</v>
      </c>
      <c r="BF638" s="768">
        <v>325.7</v>
      </c>
      <c r="BG638" s="765">
        <v>27000</v>
      </c>
      <c r="BH638" s="765">
        <v>7350</v>
      </c>
      <c r="BI638" s="765">
        <v>26500</v>
      </c>
      <c r="BJ638" s="765">
        <v>104</v>
      </c>
      <c r="BK638" s="765">
        <v>1160</v>
      </c>
      <c r="BL638" s="771">
        <v>2840</v>
      </c>
    </row>
    <row r="639" spans="35:64" x14ac:dyDescent="0.3">
      <c r="AI639" s="763" t="s">
        <v>1233</v>
      </c>
      <c r="AJ639" s="764">
        <v>25800</v>
      </c>
      <c r="AK639" s="765">
        <v>341</v>
      </c>
      <c r="AL639" s="765">
        <v>20.100000000000001</v>
      </c>
      <c r="AM639" s="765">
        <v>315</v>
      </c>
      <c r="AN639" s="765">
        <v>31.8</v>
      </c>
      <c r="AO639" s="767" t="s">
        <v>1234</v>
      </c>
      <c r="AP639" s="767">
        <v>66</v>
      </c>
      <c r="AQ639" s="769">
        <v>34</v>
      </c>
      <c r="AR639" s="770">
        <v>12</v>
      </c>
      <c r="AS639" s="766">
        <v>152</v>
      </c>
      <c r="AT639" s="768">
        <v>226</v>
      </c>
      <c r="AU639" s="767">
        <v>4.45</v>
      </c>
      <c r="AV639" s="768">
        <v>12.5</v>
      </c>
      <c r="AW639" s="765">
        <v>596</v>
      </c>
      <c r="AX639" s="765">
        <v>3420</v>
      </c>
      <c r="AY639" s="765">
        <v>148</v>
      </c>
      <c r="AZ639" s="765">
        <v>5100</v>
      </c>
      <c r="BA639" s="765">
        <v>246</v>
      </c>
      <c r="BB639" s="765">
        <v>1530</v>
      </c>
      <c r="BC639" s="765">
        <v>82.6</v>
      </c>
      <c r="BD639" s="765">
        <v>2340</v>
      </c>
      <c r="BE639" s="767">
        <v>0.53807903264544898</v>
      </c>
      <c r="BF639" s="768">
        <v>320.89999999999998</v>
      </c>
      <c r="BG639" s="765">
        <v>20400</v>
      </c>
      <c r="BH639" s="765">
        <v>6330</v>
      </c>
      <c r="BI639" s="765">
        <v>25800</v>
      </c>
      <c r="BJ639" s="765">
        <v>91.7</v>
      </c>
      <c r="BK639" s="765">
        <v>1040</v>
      </c>
      <c r="BL639" s="771">
        <v>2540</v>
      </c>
    </row>
    <row r="640" spans="35:64" x14ac:dyDescent="0.3">
      <c r="AI640" s="763" t="s">
        <v>1235</v>
      </c>
      <c r="AJ640" s="764">
        <v>22800</v>
      </c>
      <c r="AK640" s="765">
        <v>333</v>
      </c>
      <c r="AL640" s="765">
        <v>18</v>
      </c>
      <c r="AM640" s="765">
        <v>313</v>
      </c>
      <c r="AN640" s="765">
        <v>28.1</v>
      </c>
      <c r="AO640" s="767" t="s">
        <v>1236</v>
      </c>
      <c r="AP640" s="767">
        <v>61</v>
      </c>
      <c r="AQ640" s="769">
        <v>33</v>
      </c>
      <c r="AR640" s="770">
        <v>12</v>
      </c>
      <c r="AS640" s="766">
        <v>136</v>
      </c>
      <c r="AT640" s="768">
        <v>202</v>
      </c>
      <c r="AU640" s="767">
        <v>4.95</v>
      </c>
      <c r="AV640" s="768">
        <v>13.8</v>
      </c>
      <c r="AW640" s="765">
        <v>520</v>
      </c>
      <c r="AX640" s="765">
        <v>3050</v>
      </c>
      <c r="AY640" s="765">
        <v>146</v>
      </c>
      <c r="AZ640" s="765">
        <v>4490</v>
      </c>
      <c r="BA640" s="765">
        <v>215</v>
      </c>
      <c r="BB640" s="765">
        <v>1350</v>
      </c>
      <c r="BC640" s="765">
        <v>81.599999999999994</v>
      </c>
      <c r="BD640" s="765">
        <v>2060</v>
      </c>
      <c r="BE640" s="767">
        <v>0.52966807766549706</v>
      </c>
      <c r="BF640" s="768">
        <v>316.39999999999998</v>
      </c>
      <c r="BG640" s="765">
        <v>14800</v>
      </c>
      <c r="BH640" s="765">
        <v>5370</v>
      </c>
      <c r="BI640" s="765">
        <v>25200</v>
      </c>
      <c r="BJ640" s="765">
        <v>79.7</v>
      </c>
      <c r="BK640" s="765">
        <v>923</v>
      </c>
      <c r="BL640" s="771">
        <v>2230</v>
      </c>
    </row>
    <row r="641" spans="35:64" x14ac:dyDescent="0.3">
      <c r="AI641" s="763" t="s">
        <v>1237</v>
      </c>
      <c r="AJ641" s="764">
        <v>20100</v>
      </c>
      <c r="AK641" s="765">
        <v>327</v>
      </c>
      <c r="AL641" s="765">
        <v>15.5</v>
      </c>
      <c r="AM641" s="765">
        <v>310</v>
      </c>
      <c r="AN641" s="765">
        <v>25.1</v>
      </c>
      <c r="AO641" s="767" t="s">
        <v>1238</v>
      </c>
      <c r="AP641" s="767">
        <v>57</v>
      </c>
      <c r="AQ641" s="769">
        <v>31</v>
      </c>
      <c r="AR641" s="770">
        <v>12</v>
      </c>
      <c r="AS641" s="766">
        <v>120</v>
      </c>
      <c r="AT641" s="768">
        <v>179</v>
      </c>
      <c r="AU641" s="767">
        <v>5.57</v>
      </c>
      <c r="AV641" s="768">
        <v>15.4</v>
      </c>
      <c r="AW641" s="765">
        <v>445</v>
      </c>
      <c r="AX641" s="765">
        <v>2680</v>
      </c>
      <c r="AY641" s="765">
        <v>144</v>
      </c>
      <c r="AZ641" s="765">
        <v>3980</v>
      </c>
      <c r="BA641" s="765">
        <v>189</v>
      </c>
      <c r="BB641" s="765">
        <v>1190</v>
      </c>
      <c r="BC641" s="765">
        <v>81</v>
      </c>
      <c r="BD641" s="765">
        <v>1830</v>
      </c>
      <c r="BE641" s="767">
        <v>0.52271250732505981</v>
      </c>
      <c r="BF641" s="768">
        <v>312.39999999999998</v>
      </c>
      <c r="BG641" s="765">
        <v>10800</v>
      </c>
      <c r="BH641" s="765">
        <v>4620</v>
      </c>
      <c r="BI641" s="765">
        <v>24800</v>
      </c>
      <c r="BJ641" s="765">
        <v>69.8</v>
      </c>
      <c r="BK641" s="765">
        <v>820</v>
      </c>
      <c r="BL641" s="771">
        <v>1970</v>
      </c>
    </row>
    <row r="642" spans="35:64" x14ac:dyDescent="0.3">
      <c r="AI642" s="763" t="s">
        <v>1239</v>
      </c>
      <c r="AJ642" s="764">
        <v>18200</v>
      </c>
      <c r="AK642" s="765">
        <v>323</v>
      </c>
      <c r="AL642" s="765">
        <v>14</v>
      </c>
      <c r="AM642" s="765">
        <v>309</v>
      </c>
      <c r="AN642" s="765">
        <v>22.9</v>
      </c>
      <c r="AO642" s="767" t="s">
        <v>1240</v>
      </c>
      <c r="AP642" s="767">
        <v>54</v>
      </c>
      <c r="AQ642" s="769">
        <v>30</v>
      </c>
      <c r="AR642" s="770">
        <v>12</v>
      </c>
      <c r="AS642" s="766">
        <v>106</v>
      </c>
      <c r="AT642" s="768">
        <v>158</v>
      </c>
      <c r="AU642" s="767">
        <v>6.18</v>
      </c>
      <c r="AV642" s="768">
        <v>17.899999999999999</v>
      </c>
      <c r="AW642" s="765">
        <v>386</v>
      </c>
      <c r="AX642" s="765">
        <v>2360</v>
      </c>
      <c r="AY642" s="765">
        <v>142</v>
      </c>
      <c r="AZ642" s="765">
        <v>3510</v>
      </c>
      <c r="BA642" s="765">
        <v>166</v>
      </c>
      <c r="BB642" s="765">
        <v>1050</v>
      </c>
      <c r="BC642" s="765">
        <v>80.2</v>
      </c>
      <c r="BD642" s="765">
        <v>1610</v>
      </c>
      <c r="BE642" s="767">
        <v>0.51558574193274231</v>
      </c>
      <c r="BF642" s="768">
        <v>309.2</v>
      </c>
      <c r="BG642" s="765">
        <v>7740</v>
      </c>
      <c r="BH642" s="765">
        <v>3960</v>
      </c>
      <c r="BI642" s="765">
        <v>24300</v>
      </c>
      <c r="BJ642" s="765">
        <v>61</v>
      </c>
      <c r="BK642" s="765">
        <v>725</v>
      </c>
      <c r="BL642" s="771">
        <v>1740</v>
      </c>
    </row>
    <row r="643" spans="35:64" x14ac:dyDescent="0.3">
      <c r="AI643" s="763" t="s">
        <v>1241</v>
      </c>
      <c r="AJ643" s="764">
        <v>16500</v>
      </c>
      <c r="AK643" s="765">
        <v>318</v>
      </c>
      <c r="AL643" s="765">
        <v>13.1</v>
      </c>
      <c r="AM643" s="765">
        <v>308</v>
      </c>
      <c r="AN643" s="765">
        <v>20.6</v>
      </c>
      <c r="AO643" s="767" t="s">
        <v>1242</v>
      </c>
      <c r="AP643" s="767">
        <v>50</v>
      </c>
      <c r="AQ643" s="769">
        <v>29</v>
      </c>
      <c r="AR643" s="770">
        <v>12</v>
      </c>
      <c r="AS643" s="766">
        <v>96</v>
      </c>
      <c r="AT643" s="768">
        <v>143</v>
      </c>
      <c r="AU643" s="767">
        <v>6.75</v>
      </c>
      <c r="AV643" s="768">
        <v>19.8</v>
      </c>
      <c r="AW643" s="765">
        <v>348</v>
      </c>
      <c r="AX643" s="765">
        <v>2150</v>
      </c>
      <c r="AY643" s="765">
        <v>140</v>
      </c>
      <c r="AZ643" s="765">
        <v>3050</v>
      </c>
      <c r="BA643" s="765">
        <v>144</v>
      </c>
      <c r="BB643" s="765">
        <v>919</v>
      </c>
      <c r="BC643" s="765">
        <v>79.5</v>
      </c>
      <c r="BD643" s="765">
        <v>1400</v>
      </c>
      <c r="BE643" s="767">
        <v>0.50869778043872138</v>
      </c>
      <c r="BF643" s="768">
        <v>304.89999999999998</v>
      </c>
      <c r="BG643" s="765">
        <v>5380</v>
      </c>
      <c r="BH643" s="765">
        <v>3340</v>
      </c>
      <c r="BI643" s="765">
        <v>23900</v>
      </c>
      <c r="BJ643" s="765">
        <v>52.5</v>
      </c>
      <c r="BK643" s="765">
        <v>632</v>
      </c>
      <c r="BL643" s="771">
        <v>1510</v>
      </c>
    </row>
    <row r="644" spans="35:64" x14ac:dyDescent="0.3">
      <c r="AI644" s="763" t="s">
        <v>1243</v>
      </c>
      <c r="AJ644" s="764">
        <v>15000</v>
      </c>
      <c r="AK644" s="765">
        <v>314</v>
      </c>
      <c r="AL644" s="765">
        <v>11.9</v>
      </c>
      <c r="AM644" s="765">
        <v>307</v>
      </c>
      <c r="AN644" s="765">
        <v>18.7</v>
      </c>
      <c r="AO644" s="767" t="s">
        <v>1244</v>
      </c>
      <c r="AP644" s="767">
        <v>47</v>
      </c>
      <c r="AQ644" s="772">
        <v>28</v>
      </c>
      <c r="AR644" s="770">
        <v>12</v>
      </c>
      <c r="AS644" s="766">
        <v>87</v>
      </c>
      <c r="AT644" s="768">
        <v>129</v>
      </c>
      <c r="AU644" s="767">
        <v>7.48</v>
      </c>
      <c r="AV644" s="768">
        <v>21.1</v>
      </c>
      <c r="AW644" s="765">
        <v>308</v>
      </c>
      <c r="AX644" s="765">
        <v>1940</v>
      </c>
      <c r="AY644" s="765">
        <v>139</v>
      </c>
      <c r="AZ644" s="765">
        <v>2670</v>
      </c>
      <c r="BA644" s="765">
        <v>125</v>
      </c>
      <c r="BB644" s="765">
        <v>805</v>
      </c>
      <c r="BC644" s="765">
        <v>78.900000000000006</v>
      </c>
      <c r="BD644" s="765">
        <v>1220</v>
      </c>
      <c r="BE644" s="767">
        <v>0.50245952884946965</v>
      </c>
      <c r="BF644" s="768">
        <v>301.89999999999998</v>
      </c>
      <c r="BG644" s="765">
        <v>3780</v>
      </c>
      <c r="BH644" s="765">
        <v>2840</v>
      </c>
      <c r="BI644" s="765">
        <v>23400</v>
      </c>
      <c r="BJ644" s="765">
        <v>45.5</v>
      </c>
      <c r="BK644" s="765">
        <v>558</v>
      </c>
      <c r="BL644" s="771">
        <v>1320</v>
      </c>
    </row>
    <row r="645" spans="35:64" x14ac:dyDescent="0.3">
      <c r="AI645" s="763" t="s">
        <v>1245</v>
      </c>
      <c r="AJ645" s="764">
        <v>13600</v>
      </c>
      <c r="AK645" s="765">
        <v>311</v>
      </c>
      <c r="AL645" s="765">
        <v>10.9</v>
      </c>
      <c r="AM645" s="765">
        <v>306</v>
      </c>
      <c r="AN645" s="765">
        <v>17</v>
      </c>
      <c r="AO645" s="767" t="s">
        <v>1246</v>
      </c>
      <c r="AP645" s="767">
        <v>45</v>
      </c>
      <c r="AQ645" s="769">
        <v>27</v>
      </c>
      <c r="AR645" s="770">
        <v>12</v>
      </c>
      <c r="AS645" s="766">
        <v>79</v>
      </c>
      <c r="AT645" s="768">
        <v>118</v>
      </c>
      <c r="AU645" s="767">
        <v>8.2100000000000009</v>
      </c>
      <c r="AV645" s="768">
        <v>23.2</v>
      </c>
      <c r="AW645" s="765">
        <v>275</v>
      </c>
      <c r="AX645" s="765">
        <v>1750</v>
      </c>
      <c r="AY645" s="765">
        <v>138</v>
      </c>
      <c r="AZ645" s="765">
        <v>2420</v>
      </c>
      <c r="BA645" s="765">
        <v>113</v>
      </c>
      <c r="BB645" s="765">
        <v>729</v>
      </c>
      <c r="BC645" s="765">
        <v>78.599999999999994</v>
      </c>
      <c r="BD645" s="765">
        <v>1110</v>
      </c>
      <c r="BE645" s="767">
        <v>0.49918187739577302</v>
      </c>
      <c r="BF645" s="768">
        <v>300.10000000000002</v>
      </c>
      <c r="BG645" s="765">
        <v>2870</v>
      </c>
      <c r="BH645" s="765">
        <v>2540</v>
      </c>
      <c r="BI645" s="765">
        <v>23200</v>
      </c>
      <c r="BJ645" s="765">
        <v>41</v>
      </c>
      <c r="BK645" s="765">
        <v>507</v>
      </c>
      <c r="BL645" s="771">
        <v>1200</v>
      </c>
    </row>
    <row r="646" spans="35:64" x14ac:dyDescent="0.3">
      <c r="AI646" s="763" t="s">
        <v>1247</v>
      </c>
      <c r="AJ646" s="764">
        <v>12300</v>
      </c>
      <c r="AK646" s="765">
        <v>308</v>
      </c>
      <c r="AL646" s="765">
        <v>9.9</v>
      </c>
      <c r="AM646" s="765">
        <v>305</v>
      </c>
      <c r="AN646" s="765">
        <v>15.4</v>
      </c>
      <c r="AO646" s="767" t="s">
        <v>1248</v>
      </c>
      <c r="AP646" s="767">
        <v>42</v>
      </c>
      <c r="AQ646" s="769">
        <v>27</v>
      </c>
      <c r="AR646" s="770">
        <v>12</v>
      </c>
      <c r="AS646" s="766">
        <v>72</v>
      </c>
      <c r="AT646" s="768">
        <v>107</v>
      </c>
      <c r="AU646" s="767">
        <v>9</v>
      </c>
      <c r="AV646" s="768">
        <v>25.4</v>
      </c>
      <c r="AW646" s="765">
        <v>248</v>
      </c>
      <c r="AX646" s="765">
        <v>1590</v>
      </c>
      <c r="AY646" s="765">
        <v>137</v>
      </c>
      <c r="AZ646" s="765">
        <v>2160</v>
      </c>
      <c r="BA646" s="765">
        <v>100</v>
      </c>
      <c r="BB646" s="765">
        <v>652</v>
      </c>
      <c r="BC646" s="765">
        <v>78</v>
      </c>
      <c r="BD646" s="765">
        <v>991</v>
      </c>
      <c r="BE646" s="767">
        <v>0.49281892681449713</v>
      </c>
      <c r="BF646" s="768">
        <v>297.39999999999998</v>
      </c>
      <c r="BG646" s="765">
        <v>2130</v>
      </c>
      <c r="BH646" s="765">
        <v>2220</v>
      </c>
      <c r="BI646" s="765">
        <v>22900</v>
      </c>
      <c r="BJ646" s="765">
        <v>36.299999999999997</v>
      </c>
      <c r="BK646" s="765">
        <v>452</v>
      </c>
      <c r="BL646" s="771">
        <v>1070</v>
      </c>
    </row>
    <row r="647" spans="35:64" x14ac:dyDescent="0.3">
      <c r="AI647" s="763" t="s">
        <v>1249</v>
      </c>
      <c r="AJ647" s="764">
        <v>11000</v>
      </c>
      <c r="AK647" s="765">
        <v>310</v>
      </c>
      <c r="AL647" s="765">
        <v>9.1</v>
      </c>
      <c r="AM647" s="765">
        <v>254</v>
      </c>
      <c r="AN647" s="765">
        <v>16.3</v>
      </c>
      <c r="AO647" s="767" t="s">
        <v>1250</v>
      </c>
      <c r="AP647" s="767">
        <v>41</v>
      </c>
      <c r="AQ647" s="769">
        <v>26</v>
      </c>
      <c r="AR647" s="770">
        <v>12</v>
      </c>
      <c r="AS647" s="766">
        <v>65</v>
      </c>
      <c r="AT647" s="768">
        <v>97</v>
      </c>
      <c r="AU647" s="767">
        <v>9.9</v>
      </c>
      <c r="AV647" s="768">
        <v>28</v>
      </c>
      <c r="AW647" s="765">
        <v>222</v>
      </c>
      <c r="AX647" s="765">
        <v>1440</v>
      </c>
      <c r="AY647" s="765">
        <v>136</v>
      </c>
      <c r="AZ647" s="765">
        <v>1950</v>
      </c>
      <c r="BA647" s="765">
        <v>90.2</v>
      </c>
      <c r="BB647" s="765">
        <v>588</v>
      </c>
      <c r="BC647" s="765">
        <v>77.599999999999994</v>
      </c>
      <c r="BD647" s="765">
        <v>893</v>
      </c>
      <c r="BE647" s="767">
        <v>0.49079391160818248</v>
      </c>
      <c r="BF647" s="768">
        <v>295.3</v>
      </c>
      <c r="BG647" s="765">
        <v>1600</v>
      </c>
      <c r="BH647" s="765">
        <v>1970</v>
      </c>
      <c r="BI647" s="765">
        <v>22700</v>
      </c>
      <c r="BJ647" s="765">
        <v>32.5</v>
      </c>
      <c r="BK647" s="765">
        <v>407</v>
      </c>
      <c r="BL647" s="771">
        <v>961</v>
      </c>
    </row>
    <row r="648" spans="35:64" x14ac:dyDescent="0.3">
      <c r="AI648" s="763" t="s">
        <v>1251</v>
      </c>
      <c r="AJ648" s="764">
        <v>10100</v>
      </c>
      <c r="AK648" s="765">
        <v>306</v>
      </c>
      <c r="AL648" s="765">
        <v>8.8000000000000007</v>
      </c>
      <c r="AM648" s="765">
        <v>254</v>
      </c>
      <c r="AN648" s="765">
        <v>14.6</v>
      </c>
      <c r="AO648" s="767" t="s">
        <v>1252</v>
      </c>
      <c r="AP648" s="767">
        <v>39</v>
      </c>
      <c r="AQ648" s="769">
        <v>26</v>
      </c>
      <c r="AR648" s="770">
        <v>12</v>
      </c>
      <c r="AS648" s="766">
        <v>58</v>
      </c>
      <c r="AT648" s="768">
        <v>86</v>
      </c>
      <c r="AU648" s="767">
        <v>7.79</v>
      </c>
      <c r="AV648" s="768">
        <v>30.5</v>
      </c>
      <c r="AW648" s="765">
        <v>199</v>
      </c>
      <c r="AX648" s="765">
        <v>1280</v>
      </c>
      <c r="AY648" s="765">
        <v>135</v>
      </c>
      <c r="AZ648" s="765">
        <v>1770</v>
      </c>
      <c r="BA648" s="765">
        <v>81.2</v>
      </c>
      <c r="BB648" s="765">
        <v>531</v>
      </c>
      <c r="BC648" s="765">
        <v>77.2</v>
      </c>
      <c r="BD648" s="765">
        <v>806</v>
      </c>
      <c r="BE648" s="767">
        <v>0.48760551847730632</v>
      </c>
      <c r="BF648" s="768">
        <v>294</v>
      </c>
      <c r="BG648" s="765">
        <v>1220</v>
      </c>
      <c r="BH648" s="765">
        <v>1760</v>
      </c>
      <c r="BI648" s="765">
        <v>22500</v>
      </c>
      <c r="BJ648" s="765">
        <v>29.2</v>
      </c>
      <c r="BK648" s="765">
        <v>369</v>
      </c>
      <c r="BL648" s="771">
        <v>869</v>
      </c>
    </row>
    <row r="649" spans="35:64" x14ac:dyDescent="0.3">
      <c r="AI649" s="763" t="s">
        <v>1253</v>
      </c>
      <c r="AJ649" s="764">
        <v>9430</v>
      </c>
      <c r="AK649" s="765">
        <v>310</v>
      </c>
      <c r="AL649" s="765">
        <v>9.4</v>
      </c>
      <c r="AM649" s="765">
        <v>205</v>
      </c>
      <c r="AN649" s="765">
        <v>16.3</v>
      </c>
      <c r="AO649" s="767" t="s">
        <v>1254</v>
      </c>
      <c r="AP649" s="767">
        <v>37</v>
      </c>
      <c r="AQ649" s="769">
        <v>25</v>
      </c>
      <c r="AR649" s="770">
        <v>12</v>
      </c>
      <c r="AS649" s="766">
        <v>53</v>
      </c>
      <c r="AT649" s="768">
        <v>79</v>
      </c>
      <c r="AU649" s="767">
        <v>8.6999999999999993</v>
      </c>
      <c r="AV649" s="768">
        <v>31.5</v>
      </c>
      <c r="AW649" s="765">
        <v>177</v>
      </c>
      <c r="AX649" s="765">
        <v>1160</v>
      </c>
      <c r="AY649" s="765">
        <v>134</v>
      </c>
      <c r="AZ649" s="765">
        <v>1590</v>
      </c>
      <c r="BA649" s="765">
        <v>72.900000000000006</v>
      </c>
      <c r="BB649" s="765">
        <v>478</v>
      </c>
      <c r="BC649" s="765">
        <v>76.900000000000006</v>
      </c>
      <c r="BD649" s="765">
        <v>725</v>
      </c>
      <c r="BE649" s="767">
        <v>0.48392915281055338</v>
      </c>
      <c r="BF649" s="768">
        <v>292.60000000000002</v>
      </c>
      <c r="BG649" s="765">
        <v>912</v>
      </c>
      <c r="BH649" s="765">
        <v>1560</v>
      </c>
      <c r="BI649" s="765">
        <v>22300</v>
      </c>
      <c r="BJ649" s="765">
        <v>26.2</v>
      </c>
      <c r="BK649" s="765">
        <v>332</v>
      </c>
      <c r="BL649" s="771">
        <v>782</v>
      </c>
    </row>
    <row r="650" spans="35:64" x14ac:dyDescent="0.3">
      <c r="AI650" s="763" t="s">
        <v>1255</v>
      </c>
      <c r="AJ650" s="764">
        <v>8450</v>
      </c>
      <c r="AK650" s="765">
        <v>306</v>
      </c>
      <c r="AL650" s="765">
        <v>8.5</v>
      </c>
      <c r="AM650" s="765">
        <v>204</v>
      </c>
      <c r="AN650" s="765">
        <v>14.6</v>
      </c>
      <c r="AO650" s="767" t="s">
        <v>1256</v>
      </c>
      <c r="AP650" s="767">
        <v>36</v>
      </c>
      <c r="AQ650" s="770">
        <v>23</v>
      </c>
      <c r="AR650" s="770">
        <v>12</v>
      </c>
      <c r="AS650" s="766">
        <v>50</v>
      </c>
      <c r="AT650" s="768">
        <v>74</v>
      </c>
      <c r="AU650" s="767">
        <v>6.29</v>
      </c>
      <c r="AV650" s="768">
        <v>29.5</v>
      </c>
      <c r="AW650" s="765">
        <v>164</v>
      </c>
      <c r="AX650" s="765">
        <v>1060</v>
      </c>
      <c r="AY650" s="765">
        <v>134</v>
      </c>
      <c r="AZ650" s="765">
        <v>1420</v>
      </c>
      <c r="BA650" s="765">
        <v>44.5</v>
      </c>
      <c r="BB650" s="765">
        <v>351</v>
      </c>
      <c r="BC650" s="765">
        <v>63.6</v>
      </c>
      <c r="BD650" s="765">
        <v>533</v>
      </c>
      <c r="BE650" s="767">
        <v>0.4019442912600325</v>
      </c>
      <c r="BF650" s="768">
        <v>293.7</v>
      </c>
      <c r="BG650" s="765">
        <v>877</v>
      </c>
      <c r="BH650" s="765">
        <v>961</v>
      </c>
      <c r="BI650" s="765">
        <v>18600</v>
      </c>
      <c r="BJ650" s="765">
        <v>19.3</v>
      </c>
      <c r="BK650" s="765">
        <v>293</v>
      </c>
      <c r="BL650" s="771">
        <v>696</v>
      </c>
    </row>
    <row r="651" spans="35:64" x14ac:dyDescent="0.3">
      <c r="AI651" s="763" t="s">
        <v>1257</v>
      </c>
      <c r="AJ651" s="764">
        <v>7530</v>
      </c>
      <c r="AK651" s="765">
        <v>303</v>
      </c>
      <c r="AL651" s="765">
        <v>7.5</v>
      </c>
      <c r="AM651" s="765">
        <v>203</v>
      </c>
      <c r="AN651" s="765">
        <v>13.1</v>
      </c>
      <c r="AO651" s="773" t="s">
        <v>1258</v>
      </c>
      <c r="AP651" s="773">
        <v>34</v>
      </c>
      <c r="AQ651" s="769">
        <v>22</v>
      </c>
      <c r="AR651" s="770">
        <v>12</v>
      </c>
      <c r="AS651" s="766">
        <v>45</v>
      </c>
      <c r="AT651" s="768">
        <v>67</v>
      </c>
      <c r="AU651" s="767">
        <v>6.99</v>
      </c>
      <c r="AV651" s="768">
        <v>32.6</v>
      </c>
      <c r="AW651" s="765">
        <v>144</v>
      </c>
      <c r="AX651" s="765">
        <v>942</v>
      </c>
      <c r="AY651" s="765">
        <v>133</v>
      </c>
      <c r="AZ651" s="765">
        <v>1280</v>
      </c>
      <c r="BA651" s="765">
        <v>39.9</v>
      </c>
      <c r="BB651" s="765">
        <v>314</v>
      </c>
      <c r="BC651" s="765">
        <v>63</v>
      </c>
      <c r="BD651" s="765">
        <v>478</v>
      </c>
      <c r="BE651" s="767">
        <v>0.39809349572121738</v>
      </c>
      <c r="BF651" s="768">
        <v>291.39999999999998</v>
      </c>
      <c r="BG651" s="765">
        <v>657</v>
      </c>
      <c r="BH651" s="765">
        <v>847</v>
      </c>
      <c r="BI651" s="765">
        <v>18500</v>
      </c>
      <c r="BJ651" s="765">
        <v>17.2</v>
      </c>
      <c r="BK651" s="765">
        <v>261</v>
      </c>
      <c r="BL651" s="771">
        <v>625</v>
      </c>
    </row>
    <row r="652" spans="35:64" x14ac:dyDescent="0.3">
      <c r="AI652" s="763" t="s">
        <v>1259</v>
      </c>
      <c r="AJ652" s="764">
        <v>6670</v>
      </c>
      <c r="AK652" s="765">
        <v>318</v>
      </c>
      <c r="AL652" s="765">
        <v>7.6</v>
      </c>
      <c r="AM652" s="765">
        <v>167</v>
      </c>
      <c r="AN652" s="765">
        <v>13.2</v>
      </c>
      <c r="AO652" s="773" t="s">
        <v>1260</v>
      </c>
      <c r="AP652" s="773">
        <v>36</v>
      </c>
      <c r="AQ652" s="769">
        <v>23</v>
      </c>
      <c r="AR652" s="770">
        <v>12</v>
      </c>
      <c r="AS652" s="766">
        <v>40</v>
      </c>
      <c r="AT652" s="768">
        <v>60</v>
      </c>
      <c r="AU652" s="767">
        <v>7.75</v>
      </c>
      <c r="AV652" s="768">
        <v>36.9</v>
      </c>
      <c r="AW652" s="765">
        <v>128</v>
      </c>
      <c r="AX652" s="765">
        <v>842</v>
      </c>
      <c r="AY652" s="765">
        <v>132</v>
      </c>
      <c r="AZ652" s="765">
        <v>1180</v>
      </c>
      <c r="BA652" s="765">
        <v>23.4</v>
      </c>
      <c r="BB652" s="765">
        <v>229</v>
      </c>
      <c r="BC652" s="765">
        <v>49.9</v>
      </c>
      <c r="BD652" s="765">
        <v>350</v>
      </c>
      <c r="BE652" s="767">
        <v>0.3202387458319782</v>
      </c>
      <c r="BF652" s="768">
        <v>293.7</v>
      </c>
      <c r="BG652" s="765">
        <v>718</v>
      </c>
      <c r="BH652" s="765">
        <v>505</v>
      </c>
      <c r="BI652" s="765">
        <v>15100</v>
      </c>
      <c r="BJ652" s="765">
        <v>12.6</v>
      </c>
      <c r="BK652" s="765">
        <v>234</v>
      </c>
      <c r="BL652" s="771">
        <v>581</v>
      </c>
    </row>
    <row r="653" spans="35:64" x14ac:dyDescent="0.3">
      <c r="AI653" s="763" t="s">
        <v>1261</v>
      </c>
      <c r="AJ653" s="764">
        <v>5690</v>
      </c>
      <c r="AK653" s="765">
        <v>313</v>
      </c>
      <c r="AL653" s="765">
        <v>6.6</v>
      </c>
      <c r="AM653" s="765">
        <v>166</v>
      </c>
      <c r="AN653" s="765">
        <v>11.2</v>
      </c>
      <c r="AO653" s="773" t="s">
        <v>1262</v>
      </c>
      <c r="AP653" s="773">
        <v>34</v>
      </c>
      <c r="AQ653" s="769">
        <v>22</v>
      </c>
      <c r="AR653" s="770">
        <v>12</v>
      </c>
      <c r="AS653" s="766">
        <v>35</v>
      </c>
      <c r="AT653" s="768">
        <v>52</v>
      </c>
      <c r="AU653" s="767">
        <v>6.33</v>
      </c>
      <c r="AV653" s="768">
        <v>38.4</v>
      </c>
      <c r="AW653" s="765">
        <v>119</v>
      </c>
      <c r="AX653" s="765">
        <v>750</v>
      </c>
      <c r="AY653" s="765">
        <v>131</v>
      </c>
      <c r="AZ653" s="765">
        <v>1050</v>
      </c>
      <c r="BA653" s="765">
        <v>20.7</v>
      </c>
      <c r="BB653" s="765">
        <v>203</v>
      </c>
      <c r="BC653" s="765">
        <v>49.5</v>
      </c>
      <c r="BD653" s="765">
        <v>310</v>
      </c>
      <c r="BE653" s="767">
        <v>0.31811435340154992</v>
      </c>
      <c r="BF653" s="768">
        <v>291.39999999999998</v>
      </c>
      <c r="BG653" s="765">
        <v>522</v>
      </c>
      <c r="BH653" s="765">
        <v>439</v>
      </c>
      <c r="BI653" s="765">
        <v>14900</v>
      </c>
      <c r="BJ653" s="765">
        <v>11.1</v>
      </c>
      <c r="BK653" s="765">
        <v>208</v>
      </c>
      <c r="BL653" s="771">
        <v>515</v>
      </c>
    </row>
    <row r="654" spans="35:64" x14ac:dyDescent="0.3">
      <c r="AI654" s="763" t="s">
        <v>1263</v>
      </c>
      <c r="AJ654" s="764">
        <v>4940</v>
      </c>
      <c r="AK654" s="765">
        <v>310</v>
      </c>
      <c r="AL654" s="765">
        <v>5.8</v>
      </c>
      <c r="AM654" s="765">
        <v>165</v>
      </c>
      <c r="AN654" s="765">
        <v>9.6999999999999993</v>
      </c>
      <c r="AO654" s="773" t="s">
        <v>1264</v>
      </c>
      <c r="AP654" s="773">
        <v>33</v>
      </c>
      <c r="AQ654" s="769">
        <v>22</v>
      </c>
      <c r="AR654" s="770">
        <v>12</v>
      </c>
      <c r="AS654" s="766">
        <v>30</v>
      </c>
      <c r="AT654" s="768">
        <v>45</v>
      </c>
      <c r="AU654" s="767">
        <v>7.41</v>
      </c>
      <c r="AV654" s="768">
        <v>44</v>
      </c>
      <c r="AW654" s="765">
        <v>99.2</v>
      </c>
      <c r="AX654" s="765">
        <v>634</v>
      </c>
      <c r="AY654" s="765">
        <v>130</v>
      </c>
      <c r="AZ654" s="765">
        <v>933</v>
      </c>
      <c r="BA654" s="765">
        <v>18.3</v>
      </c>
      <c r="BB654" s="765">
        <v>180</v>
      </c>
      <c r="BC654" s="765">
        <v>49.3</v>
      </c>
      <c r="BD654" s="765">
        <v>275</v>
      </c>
      <c r="BE654" s="767">
        <v>0.3155291828874513</v>
      </c>
      <c r="BF654" s="768">
        <v>289.89999999999998</v>
      </c>
      <c r="BG654" s="765">
        <v>378</v>
      </c>
      <c r="BH654" s="765">
        <v>384</v>
      </c>
      <c r="BI654" s="765">
        <v>14700</v>
      </c>
      <c r="BJ654" s="765">
        <v>9.7799999999999994</v>
      </c>
      <c r="BK654" s="765">
        <v>186</v>
      </c>
      <c r="BL654" s="771">
        <v>457</v>
      </c>
    </row>
    <row r="655" spans="35:64" x14ac:dyDescent="0.3">
      <c r="AI655" s="763" t="s">
        <v>1265</v>
      </c>
      <c r="AJ655" s="764">
        <v>3930</v>
      </c>
      <c r="AK655" s="765">
        <v>306</v>
      </c>
      <c r="AL655" s="765">
        <v>5</v>
      </c>
      <c r="AM655" s="765">
        <v>164</v>
      </c>
      <c r="AN655" s="765">
        <v>7.4</v>
      </c>
      <c r="AO655" s="773" t="s">
        <v>1266</v>
      </c>
      <c r="AP655" s="773">
        <v>30</v>
      </c>
      <c r="AQ655" s="774">
        <v>19</v>
      </c>
      <c r="AR655" s="770">
        <v>12</v>
      </c>
      <c r="AS655" s="766">
        <v>26</v>
      </c>
      <c r="AT655" s="768">
        <v>39</v>
      </c>
      <c r="AU655" s="767">
        <v>8.51</v>
      </c>
      <c r="AV655" s="768">
        <v>50.1</v>
      </c>
      <c r="AW655" s="765">
        <v>85.1</v>
      </c>
      <c r="AX655" s="765">
        <v>549</v>
      </c>
      <c r="AY655" s="765">
        <v>134</v>
      </c>
      <c r="AZ655" s="765">
        <v>841</v>
      </c>
      <c r="BA655" s="765">
        <v>10.3</v>
      </c>
      <c r="BB655" s="765">
        <v>123</v>
      </c>
      <c r="BC655" s="765">
        <v>39.200000000000003</v>
      </c>
      <c r="BD655" s="765">
        <v>189</v>
      </c>
      <c r="BE655" s="767">
        <v>0.25693479016786602</v>
      </c>
      <c r="BF655" s="768">
        <v>304.8</v>
      </c>
      <c r="BG655" s="765">
        <v>308</v>
      </c>
      <c r="BH655" s="765">
        <v>238</v>
      </c>
      <c r="BI655" s="765">
        <v>12700</v>
      </c>
      <c r="BJ655" s="765">
        <v>7.01</v>
      </c>
      <c r="BK655" s="765">
        <v>160</v>
      </c>
      <c r="BL655" s="771">
        <v>417</v>
      </c>
    </row>
    <row r="656" spans="35:64" x14ac:dyDescent="0.3">
      <c r="AI656" s="763" t="s">
        <v>1267</v>
      </c>
      <c r="AJ656" s="764">
        <v>4180</v>
      </c>
      <c r="AK656" s="765">
        <v>313</v>
      </c>
      <c r="AL656" s="765">
        <v>6.6</v>
      </c>
      <c r="AM656" s="765">
        <v>102</v>
      </c>
      <c r="AN656" s="765">
        <v>10.8</v>
      </c>
      <c r="AO656" s="773" t="s">
        <v>1268</v>
      </c>
      <c r="AP656" s="773">
        <v>28</v>
      </c>
      <c r="AQ656" s="769">
        <v>19</v>
      </c>
      <c r="AR656" s="770">
        <v>12</v>
      </c>
      <c r="AS656" s="766">
        <v>21</v>
      </c>
      <c r="AT656" s="765">
        <v>31</v>
      </c>
      <c r="AU656" s="767">
        <v>11.1</v>
      </c>
      <c r="AV656" s="768">
        <v>58.2</v>
      </c>
      <c r="AW656" s="765">
        <v>65.400000000000006</v>
      </c>
      <c r="AX656" s="765">
        <v>428</v>
      </c>
      <c r="AY656" s="765">
        <v>132</v>
      </c>
      <c r="AZ656" s="765">
        <v>708</v>
      </c>
      <c r="BA656" s="765">
        <v>8.5500000000000007</v>
      </c>
      <c r="BB656" s="765">
        <v>103</v>
      </c>
      <c r="BC656" s="765">
        <v>38.799999999999997</v>
      </c>
      <c r="BD656" s="765">
        <v>158</v>
      </c>
      <c r="BE656" s="773">
        <v>0.25377892452650708</v>
      </c>
      <c r="BF656" s="768">
        <v>301.8</v>
      </c>
      <c r="BG656" s="765">
        <v>191</v>
      </c>
      <c r="BH656" s="765">
        <v>195</v>
      </c>
      <c r="BI656" s="765">
        <v>12500</v>
      </c>
      <c r="BJ656" s="765">
        <v>5.82</v>
      </c>
      <c r="BK656" s="765">
        <v>135</v>
      </c>
      <c r="BL656" s="771">
        <v>350</v>
      </c>
    </row>
    <row r="657" spans="35:64" x14ac:dyDescent="0.3">
      <c r="AI657" s="763" t="s">
        <v>1269</v>
      </c>
      <c r="AJ657" s="764">
        <v>3610</v>
      </c>
      <c r="AK657" s="765">
        <v>309</v>
      </c>
      <c r="AL657" s="765">
        <v>6</v>
      </c>
      <c r="AM657" s="765">
        <v>102</v>
      </c>
      <c r="AN657" s="765">
        <v>8.9</v>
      </c>
      <c r="AO657" s="773" t="s">
        <v>1270</v>
      </c>
      <c r="AP657" s="773">
        <v>26</v>
      </c>
      <c r="AQ657" s="769">
        <v>18</v>
      </c>
      <c r="AR657" s="770">
        <v>12</v>
      </c>
      <c r="AS657" s="766">
        <v>22</v>
      </c>
      <c r="AT657" s="765">
        <v>33</v>
      </c>
      <c r="AU657" s="767">
        <v>4.72</v>
      </c>
      <c r="AV657" s="768">
        <v>44.2</v>
      </c>
      <c r="AW657" s="765">
        <v>65</v>
      </c>
      <c r="AX657" s="765">
        <v>415</v>
      </c>
      <c r="AY657" s="765">
        <v>131</v>
      </c>
      <c r="AZ657" s="765">
        <v>610</v>
      </c>
      <c r="BA657" s="765">
        <v>7.27</v>
      </c>
      <c r="BB657" s="765">
        <v>88.1</v>
      </c>
      <c r="BC657" s="765">
        <v>38.4</v>
      </c>
      <c r="BD657" s="765">
        <v>135</v>
      </c>
      <c r="BE657" s="773">
        <v>0.25078894731475349</v>
      </c>
      <c r="BF657" s="768">
        <v>300.3</v>
      </c>
      <c r="BG657" s="765">
        <v>126</v>
      </c>
      <c r="BH657" s="765">
        <v>164</v>
      </c>
      <c r="BI657" s="765">
        <v>12400</v>
      </c>
      <c r="BJ657" s="765">
        <v>4.96</v>
      </c>
      <c r="BK657" s="765">
        <v>116</v>
      </c>
      <c r="BL657" s="771">
        <v>302</v>
      </c>
    </row>
    <row r="658" spans="35:64" x14ac:dyDescent="0.3">
      <c r="AI658" s="763" t="s">
        <v>1271</v>
      </c>
      <c r="AJ658" s="764">
        <v>3040</v>
      </c>
      <c r="AK658" s="765">
        <v>305</v>
      </c>
      <c r="AL658" s="765">
        <v>5.6</v>
      </c>
      <c r="AM658" s="765">
        <v>101</v>
      </c>
      <c r="AN658" s="765">
        <v>6.7</v>
      </c>
      <c r="AO658" s="767" t="s">
        <v>1272</v>
      </c>
      <c r="AP658" s="767">
        <v>24</v>
      </c>
      <c r="AQ658" s="769">
        <v>18</v>
      </c>
      <c r="AR658" s="770">
        <v>12</v>
      </c>
      <c r="AS658" s="766">
        <v>19</v>
      </c>
      <c r="AT658" s="768">
        <v>28</v>
      </c>
      <c r="AU658" s="767">
        <v>5.73</v>
      </c>
      <c r="AV658" s="768">
        <v>48.5</v>
      </c>
      <c r="AW658" s="765">
        <v>54.3</v>
      </c>
      <c r="AX658" s="765">
        <v>351</v>
      </c>
      <c r="AY658" s="765">
        <v>129</v>
      </c>
      <c r="AZ658" s="765">
        <v>476</v>
      </c>
      <c r="BA658" s="765">
        <v>5.44</v>
      </c>
      <c r="BB658" s="765">
        <v>66.400000000000006</v>
      </c>
      <c r="BC658" s="765">
        <v>37.200000000000003</v>
      </c>
      <c r="BD658" s="765">
        <v>102</v>
      </c>
      <c r="BE658" s="767">
        <v>0.24483538403202779</v>
      </c>
      <c r="BF658" s="768">
        <v>298.60000000000002</v>
      </c>
      <c r="BG658" s="765">
        <v>61.3</v>
      </c>
      <c r="BH658" s="765">
        <v>121</v>
      </c>
      <c r="BI658" s="765">
        <v>12200</v>
      </c>
      <c r="BJ658" s="765">
        <v>3.71</v>
      </c>
      <c r="BK658" s="765">
        <v>87.8</v>
      </c>
      <c r="BL658" s="771">
        <v>234</v>
      </c>
    </row>
    <row r="659" spans="35:64" x14ac:dyDescent="0.3">
      <c r="AI659" s="763" t="s">
        <v>1273</v>
      </c>
      <c r="AJ659" s="764">
        <v>2690</v>
      </c>
      <c r="AK659" s="765">
        <v>303</v>
      </c>
      <c r="AL659" s="765">
        <v>5.0999999999999996</v>
      </c>
      <c r="AM659" s="765">
        <v>101</v>
      </c>
      <c r="AN659" s="765">
        <v>5.7</v>
      </c>
      <c r="AO659" s="767" t="s">
        <v>1274</v>
      </c>
      <c r="AP659" s="767">
        <v>23</v>
      </c>
      <c r="AQ659" s="769">
        <v>14</v>
      </c>
      <c r="AR659" s="770">
        <v>12</v>
      </c>
      <c r="AS659" s="766">
        <v>16</v>
      </c>
      <c r="AT659" s="768">
        <v>24</v>
      </c>
      <c r="AU659" s="767">
        <v>7.54</v>
      </c>
      <c r="AV659" s="768">
        <v>52.1</v>
      </c>
      <c r="AW659" s="765">
        <v>42.7</v>
      </c>
      <c r="AX659" s="765">
        <v>280</v>
      </c>
      <c r="AY659" s="765">
        <v>125</v>
      </c>
      <c r="AZ659" s="765">
        <v>480</v>
      </c>
      <c r="BA659" s="765">
        <v>1.92</v>
      </c>
      <c r="BB659" s="765">
        <v>37.6</v>
      </c>
      <c r="BC659" s="765">
        <v>21.4</v>
      </c>
      <c r="BD659" s="765">
        <v>59.6</v>
      </c>
      <c r="BE659" s="767">
        <v>0.14865166790371209</v>
      </c>
      <c r="BF659" s="768">
        <v>302.2</v>
      </c>
      <c r="BG659" s="765">
        <v>122</v>
      </c>
      <c r="BH659" s="765">
        <v>43.8</v>
      </c>
      <c r="BI659" s="765">
        <v>7710</v>
      </c>
      <c r="BJ659" s="765">
        <v>2.12</v>
      </c>
      <c r="BK659" s="765">
        <v>77.8</v>
      </c>
      <c r="BL659" s="771">
        <v>237</v>
      </c>
    </row>
    <row r="660" spans="35:64" x14ac:dyDescent="0.3">
      <c r="AI660" s="763" t="s">
        <v>1275</v>
      </c>
      <c r="AJ660" s="764">
        <v>21300</v>
      </c>
      <c r="AK660" s="765">
        <v>289</v>
      </c>
      <c r="AL660" s="765">
        <v>19.2</v>
      </c>
      <c r="AM660" s="765">
        <v>265</v>
      </c>
      <c r="AN660" s="765">
        <v>31.8</v>
      </c>
      <c r="AO660" s="767" t="s">
        <v>1276</v>
      </c>
      <c r="AP660" s="767">
        <v>22</v>
      </c>
      <c r="AQ660" s="769">
        <v>14</v>
      </c>
      <c r="AR660" s="770">
        <v>12</v>
      </c>
      <c r="AS660" s="766">
        <v>14</v>
      </c>
      <c r="AT660" s="768">
        <v>21</v>
      </c>
      <c r="AU660" s="767">
        <v>8.86</v>
      </c>
      <c r="AV660" s="768">
        <v>57.2</v>
      </c>
      <c r="AW660" s="765">
        <v>37</v>
      </c>
      <c r="AX660" s="765">
        <v>244</v>
      </c>
      <c r="AY660" s="765">
        <v>123</v>
      </c>
      <c r="AZ660" s="765">
        <v>407</v>
      </c>
      <c r="BA660" s="765">
        <v>1.58</v>
      </c>
      <c r="BB660" s="765">
        <v>31</v>
      </c>
      <c r="BC660" s="765">
        <v>20.9</v>
      </c>
      <c r="BD660" s="765">
        <v>49.2</v>
      </c>
      <c r="BE660" s="767">
        <v>0.14617503718863281</v>
      </c>
      <c r="BF660" s="767">
        <v>300.10000000000002</v>
      </c>
      <c r="BG660" s="765">
        <v>75.7</v>
      </c>
      <c r="BH660" s="765">
        <v>35.6</v>
      </c>
      <c r="BI660" s="765">
        <v>7650</v>
      </c>
      <c r="BJ660" s="765">
        <v>1.74</v>
      </c>
      <c r="BK660" s="765">
        <v>64.099999999999994</v>
      </c>
      <c r="BL660" s="771">
        <v>200</v>
      </c>
    </row>
    <row r="661" spans="35:64" x14ac:dyDescent="0.3">
      <c r="AI661" s="763" t="s">
        <v>1277</v>
      </c>
      <c r="AJ661" s="764">
        <v>19000</v>
      </c>
      <c r="AK661" s="765">
        <v>282</v>
      </c>
      <c r="AL661" s="765">
        <v>17.3</v>
      </c>
      <c r="AM661" s="765">
        <v>263</v>
      </c>
      <c r="AN661" s="765">
        <v>28.4</v>
      </c>
      <c r="AO661" s="767" t="s">
        <v>1278</v>
      </c>
      <c r="AP661" s="767">
        <v>19</v>
      </c>
      <c r="AQ661" s="770">
        <v>14</v>
      </c>
      <c r="AR661" s="770">
        <v>12</v>
      </c>
      <c r="AS661" s="766">
        <v>112</v>
      </c>
      <c r="AT661" s="768">
        <v>167</v>
      </c>
      <c r="AU661" s="767">
        <v>4.17</v>
      </c>
      <c r="AV661" s="768">
        <v>11.7</v>
      </c>
      <c r="AW661" s="765">
        <v>300</v>
      </c>
      <c r="AX661" s="765">
        <v>2080</v>
      </c>
      <c r="AY661" s="765">
        <v>119</v>
      </c>
      <c r="AZ661" s="765">
        <v>328</v>
      </c>
      <c r="BA661" s="765">
        <v>1.1599999999999999</v>
      </c>
      <c r="BB661" s="765">
        <v>22.9</v>
      </c>
      <c r="BC661" s="765">
        <v>19.5</v>
      </c>
      <c r="BD661" s="765">
        <v>36.700000000000003</v>
      </c>
      <c r="BE661" s="767">
        <v>0.13964286885165519</v>
      </c>
      <c r="BF661" s="767">
        <v>298.3</v>
      </c>
      <c r="BG661" s="765">
        <v>42.5</v>
      </c>
      <c r="BH661" s="765">
        <v>25.7</v>
      </c>
      <c r="BI661" s="765">
        <v>7530</v>
      </c>
      <c r="BJ661" s="765">
        <v>1.27</v>
      </c>
      <c r="BK661" s="765">
        <v>47.7</v>
      </c>
      <c r="BL661" s="771">
        <v>160</v>
      </c>
    </row>
    <row r="662" spans="35:64" x14ac:dyDescent="0.3">
      <c r="AI662" s="763" t="s">
        <v>1279</v>
      </c>
      <c r="AJ662" s="764">
        <v>16700</v>
      </c>
      <c r="AK662" s="765">
        <v>275</v>
      </c>
      <c r="AL662" s="765">
        <v>15.4</v>
      </c>
      <c r="AM662" s="765">
        <v>261</v>
      </c>
      <c r="AN662" s="765">
        <v>25.1</v>
      </c>
      <c r="AO662" s="767" t="s">
        <v>1280</v>
      </c>
      <c r="AP662" s="767">
        <v>18</v>
      </c>
      <c r="AQ662" s="772">
        <v>14</v>
      </c>
      <c r="AR662" s="770">
        <v>12</v>
      </c>
      <c r="AS662" s="766">
        <v>100</v>
      </c>
      <c r="AT662" s="768">
        <v>149</v>
      </c>
      <c r="AU662" s="767">
        <v>4.63</v>
      </c>
      <c r="AV662" s="768">
        <v>13</v>
      </c>
      <c r="AW662" s="765">
        <v>259</v>
      </c>
      <c r="AX662" s="765">
        <v>1840</v>
      </c>
      <c r="AY662" s="765">
        <v>117</v>
      </c>
      <c r="AZ662" s="765">
        <v>287</v>
      </c>
      <c r="BA662" s="765">
        <v>0.98299999999999998</v>
      </c>
      <c r="BB662" s="765">
        <v>19.5</v>
      </c>
      <c r="BC662" s="765">
        <v>19.100000000000001</v>
      </c>
      <c r="BD662" s="765">
        <v>31.2</v>
      </c>
      <c r="BE662" s="767">
        <v>0.13758098035255631</v>
      </c>
      <c r="BF662" s="767">
        <v>297.3</v>
      </c>
      <c r="BG662" s="765">
        <v>29.4</v>
      </c>
      <c r="BH662" s="765">
        <v>21.7</v>
      </c>
      <c r="BI662" s="765">
        <v>7510</v>
      </c>
      <c r="BJ662" s="765">
        <v>1.08</v>
      </c>
      <c r="BK662" s="765">
        <v>40.6</v>
      </c>
      <c r="BL662" s="771">
        <v>140</v>
      </c>
    </row>
    <row r="663" spans="35:64" x14ac:dyDescent="0.3">
      <c r="AI663" s="763" t="s">
        <v>1281</v>
      </c>
      <c r="AJ663" s="764">
        <v>14600</v>
      </c>
      <c r="AK663" s="765">
        <v>269</v>
      </c>
      <c r="AL663" s="765">
        <v>13.5</v>
      </c>
      <c r="AM663" s="765">
        <v>259</v>
      </c>
      <c r="AN663" s="765">
        <v>22.1</v>
      </c>
      <c r="AO663" s="767" t="s">
        <v>1282</v>
      </c>
      <c r="AP663" s="767">
        <v>49</v>
      </c>
      <c r="AQ663" s="772">
        <v>25</v>
      </c>
      <c r="AR663" s="770">
        <v>10</v>
      </c>
      <c r="AS663" s="766">
        <v>88</v>
      </c>
      <c r="AT663" s="768">
        <v>131</v>
      </c>
      <c r="AU663" s="767">
        <v>5.2</v>
      </c>
      <c r="AV663" s="768">
        <v>14.6</v>
      </c>
      <c r="AW663" s="765">
        <v>221</v>
      </c>
      <c r="AX663" s="765">
        <v>1610</v>
      </c>
      <c r="AY663" s="765">
        <v>119</v>
      </c>
      <c r="AZ663" s="765">
        <v>2430</v>
      </c>
      <c r="BA663" s="765">
        <v>98.8</v>
      </c>
      <c r="BB663" s="765">
        <v>746</v>
      </c>
      <c r="BC663" s="765">
        <v>68.099999999999994</v>
      </c>
      <c r="BD663" s="765">
        <v>1140</v>
      </c>
      <c r="BE663" s="767">
        <v>0.43924261636000322</v>
      </c>
      <c r="BF663" s="767">
        <v>257.2</v>
      </c>
      <c r="BG663" s="765">
        <v>6310</v>
      </c>
      <c r="BH663" s="765">
        <v>1630</v>
      </c>
      <c r="BI663" s="765">
        <v>17000</v>
      </c>
      <c r="BJ663" s="765">
        <v>35.9</v>
      </c>
      <c r="BK663" s="765">
        <v>503</v>
      </c>
      <c r="BL663" s="771">
        <v>1210</v>
      </c>
    </row>
    <row r="664" spans="35:64" x14ac:dyDescent="0.3">
      <c r="AI664" s="763" t="s">
        <v>1283</v>
      </c>
      <c r="AJ664" s="764">
        <v>12900</v>
      </c>
      <c r="AK664" s="765">
        <v>264</v>
      </c>
      <c r="AL664" s="765">
        <v>11.9</v>
      </c>
      <c r="AM664" s="765">
        <v>257</v>
      </c>
      <c r="AN664" s="765">
        <v>19.600000000000001</v>
      </c>
      <c r="AO664" s="767" t="s">
        <v>1284</v>
      </c>
      <c r="AP664" s="767">
        <v>45</v>
      </c>
      <c r="AQ664" s="772">
        <v>24</v>
      </c>
      <c r="AR664" s="770">
        <v>10</v>
      </c>
      <c r="AS664" s="766">
        <v>77</v>
      </c>
      <c r="AT664" s="768">
        <v>115</v>
      </c>
      <c r="AU664" s="767">
        <v>5.86</v>
      </c>
      <c r="AV664" s="768">
        <v>16.7</v>
      </c>
      <c r="AW664" s="765">
        <v>189</v>
      </c>
      <c r="AX664" s="765">
        <v>1410</v>
      </c>
      <c r="AY664" s="765">
        <v>117</v>
      </c>
      <c r="AZ664" s="765">
        <v>2130</v>
      </c>
      <c r="BA664" s="765">
        <v>86.2</v>
      </c>
      <c r="BB664" s="765">
        <v>656</v>
      </c>
      <c r="BC664" s="765">
        <v>67.400000000000006</v>
      </c>
      <c r="BD664" s="765">
        <v>1000</v>
      </c>
      <c r="BE664" s="767">
        <v>0.43373214000364418</v>
      </c>
      <c r="BF664" s="767">
        <v>253.6</v>
      </c>
      <c r="BG664" s="765">
        <v>4510</v>
      </c>
      <c r="BH664" s="765">
        <v>1390</v>
      </c>
      <c r="BI664" s="765">
        <v>16700</v>
      </c>
      <c r="BJ664" s="765">
        <v>31.1</v>
      </c>
      <c r="BK664" s="765">
        <v>442</v>
      </c>
      <c r="BL664" s="771">
        <v>1060</v>
      </c>
    </row>
    <row r="665" spans="35:64" x14ac:dyDescent="0.3">
      <c r="AI665" s="763" t="s">
        <v>1285</v>
      </c>
      <c r="AJ665" s="764">
        <v>11400</v>
      </c>
      <c r="AK665" s="765">
        <v>260</v>
      </c>
      <c r="AL665" s="765">
        <v>10.7</v>
      </c>
      <c r="AM665" s="765">
        <v>256</v>
      </c>
      <c r="AN665" s="765">
        <v>17.3</v>
      </c>
      <c r="AO665" s="767" t="s">
        <v>1286</v>
      </c>
      <c r="AP665" s="767">
        <v>42</v>
      </c>
      <c r="AQ665" s="772">
        <v>23</v>
      </c>
      <c r="AR665" s="770">
        <v>10</v>
      </c>
      <c r="AS665" s="766">
        <v>68</v>
      </c>
      <c r="AT665" s="768">
        <v>101</v>
      </c>
      <c r="AU665" s="767">
        <v>6.56</v>
      </c>
      <c r="AV665" s="768">
        <v>18.899999999999999</v>
      </c>
      <c r="AW665" s="765">
        <v>164</v>
      </c>
      <c r="AX665" s="765">
        <v>1240</v>
      </c>
      <c r="AY665" s="765">
        <v>115</v>
      </c>
      <c r="AZ665" s="765">
        <v>1850</v>
      </c>
      <c r="BA665" s="765">
        <v>74.5</v>
      </c>
      <c r="BB665" s="765">
        <v>571</v>
      </c>
      <c r="BC665" s="765">
        <v>66.8</v>
      </c>
      <c r="BD665" s="765">
        <v>870</v>
      </c>
      <c r="BE665" s="767">
        <v>0.42730761015872371</v>
      </c>
      <c r="BF665" s="767">
        <v>249.9</v>
      </c>
      <c r="BG665" s="765">
        <v>3120</v>
      </c>
      <c r="BH665" s="765">
        <v>1160</v>
      </c>
      <c r="BI665" s="765">
        <v>16300</v>
      </c>
      <c r="BJ665" s="765">
        <v>26.7</v>
      </c>
      <c r="BK665" s="765">
        <v>385</v>
      </c>
      <c r="BL665" s="771">
        <v>916</v>
      </c>
    </row>
    <row r="666" spans="35:64" x14ac:dyDescent="0.3">
      <c r="AI666" s="763" t="s">
        <v>1287</v>
      </c>
      <c r="AJ666" s="764">
        <v>10200</v>
      </c>
      <c r="AK666" s="765">
        <v>256</v>
      </c>
      <c r="AL666" s="765">
        <v>9.4</v>
      </c>
      <c r="AM666" s="765">
        <v>255</v>
      </c>
      <c r="AN666" s="765">
        <v>15.6</v>
      </c>
      <c r="AO666" s="767" t="s">
        <v>1288</v>
      </c>
      <c r="AP666" s="767">
        <v>39</v>
      </c>
      <c r="AQ666" s="769">
        <v>22</v>
      </c>
      <c r="AR666" s="770">
        <v>10</v>
      </c>
      <c r="AS666" s="766">
        <v>60</v>
      </c>
      <c r="AT666" s="768">
        <v>89</v>
      </c>
      <c r="AU666" s="767">
        <v>7.4</v>
      </c>
      <c r="AV666" s="768">
        <v>21.1</v>
      </c>
      <c r="AW666" s="765">
        <v>143</v>
      </c>
      <c r="AX666" s="765">
        <v>1100</v>
      </c>
      <c r="AY666" s="765">
        <v>114</v>
      </c>
      <c r="AZ666" s="765">
        <v>1600</v>
      </c>
      <c r="BA666" s="765">
        <v>64.099999999999994</v>
      </c>
      <c r="BB666" s="765">
        <v>495</v>
      </c>
      <c r="BC666" s="765">
        <v>66.2</v>
      </c>
      <c r="BD666" s="765">
        <v>753</v>
      </c>
      <c r="BE666" s="767">
        <v>0.42117967532481509</v>
      </c>
      <c r="BF666" s="767">
        <v>246.9</v>
      </c>
      <c r="BG666" s="765">
        <v>2130</v>
      </c>
      <c r="BH666" s="765">
        <v>976</v>
      </c>
      <c r="BI666" s="765">
        <v>16000</v>
      </c>
      <c r="BJ666" s="765">
        <v>22.9</v>
      </c>
      <c r="BK666" s="765">
        <v>335</v>
      </c>
      <c r="BL666" s="771">
        <v>792</v>
      </c>
    </row>
    <row r="667" spans="35:64" x14ac:dyDescent="0.3">
      <c r="AI667" s="763" t="s">
        <v>1289</v>
      </c>
      <c r="AJ667" s="764">
        <v>9280</v>
      </c>
      <c r="AK667" s="765">
        <v>253</v>
      </c>
      <c r="AL667" s="765">
        <v>8.6</v>
      </c>
      <c r="AM667" s="765">
        <v>254</v>
      </c>
      <c r="AN667" s="765">
        <v>14.2</v>
      </c>
      <c r="AO667" s="767" t="s">
        <v>1290</v>
      </c>
      <c r="AP667" s="767">
        <v>36</v>
      </c>
      <c r="AQ667" s="769">
        <v>21</v>
      </c>
      <c r="AR667" s="770">
        <v>10</v>
      </c>
      <c r="AS667" s="766">
        <v>54</v>
      </c>
      <c r="AT667" s="768">
        <v>80</v>
      </c>
      <c r="AU667" s="767">
        <v>8.17</v>
      </c>
      <c r="AV667" s="768">
        <v>23.9</v>
      </c>
      <c r="AW667" s="765">
        <v>126</v>
      </c>
      <c r="AX667" s="765">
        <v>982</v>
      </c>
      <c r="AY667" s="765">
        <v>113</v>
      </c>
      <c r="AZ667" s="765">
        <v>1400</v>
      </c>
      <c r="BA667" s="765">
        <v>55.5</v>
      </c>
      <c r="BB667" s="765">
        <v>432</v>
      </c>
      <c r="BC667" s="765">
        <v>65.599999999999994</v>
      </c>
      <c r="BD667" s="765">
        <v>656</v>
      </c>
      <c r="BE667" s="767">
        <v>0.41591160248489611</v>
      </c>
      <c r="BF667" s="767">
        <v>244.4</v>
      </c>
      <c r="BG667" s="765">
        <v>1490</v>
      </c>
      <c r="BH667" s="765">
        <v>829</v>
      </c>
      <c r="BI667" s="765">
        <v>15700</v>
      </c>
      <c r="BJ667" s="765">
        <v>19.8</v>
      </c>
      <c r="BK667" s="765">
        <v>294</v>
      </c>
      <c r="BL667" s="771">
        <v>691</v>
      </c>
    </row>
    <row r="668" spans="35:64" x14ac:dyDescent="0.3">
      <c r="AI668" s="763" t="s">
        <v>1291</v>
      </c>
      <c r="AJ668" s="764">
        <v>8550</v>
      </c>
      <c r="AK668" s="765">
        <v>257</v>
      </c>
      <c r="AL668" s="765">
        <v>8.9</v>
      </c>
      <c r="AM668" s="765">
        <v>204</v>
      </c>
      <c r="AN668" s="765">
        <v>15.7</v>
      </c>
      <c r="AO668" s="773" t="s">
        <v>1292</v>
      </c>
      <c r="AP668" s="773">
        <v>34</v>
      </c>
      <c r="AQ668" s="769">
        <v>21</v>
      </c>
      <c r="AR668" s="770">
        <v>10</v>
      </c>
      <c r="AS668" s="766">
        <v>49</v>
      </c>
      <c r="AT668" s="768">
        <v>73</v>
      </c>
      <c r="AU668" s="767">
        <v>8.94</v>
      </c>
      <c r="AV668" s="768">
        <v>26.1</v>
      </c>
      <c r="AW668" s="765">
        <v>113</v>
      </c>
      <c r="AX668" s="765">
        <v>891</v>
      </c>
      <c r="AY668" s="765">
        <v>112</v>
      </c>
      <c r="AZ668" s="765">
        <v>1230</v>
      </c>
      <c r="BA668" s="765">
        <v>48.4</v>
      </c>
      <c r="BB668" s="765">
        <v>378</v>
      </c>
      <c r="BC668" s="765">
        <v>65.099999999999994</v>
      </c>
      <c r="BD668" s="765">
        <v>574</v>
      </c>
      <c r="BE668" s="767">
        <v>0.41094848175978987</v>
      </c>
      <c r="BF668" s="767">
        <v>242.7</v>
      </c>
      <c r="BG668" s="765">
        <v>1040</v>
      </c>
      <c r="BH668" s="765">
        <v>713</v>
      </c>
      <c r="BI668" s="765">
        <v>15500</v>
      </c>
      <c r="BJ668" s="765">
        <v>17.2</v>
      </c>
      <c r="BK668" s="765">
        <v>257</v>
      </c>
      <c r="BL668" s="771">
        <v>605</v>
      </c>
    </row>
    <row r="669" spans="35:64" x14ac:dyDescent="0.3">
      <c r="AI669" s="763" t="s">
        <v>1293</v>
      </c>
      <c r="AJ669" s="764">
        <v>7420</v>
      </c>
      <c r="AK669" s="765">
        <v>252</v>
      </c>
      <c r="AL669" s="765">
        <v>8</v>
      </c>
      <c r="AM669" s="765">
        <v>203</v>
      </c>
      <c r="AN669" s="765">
        <v>13.5</v>
      </c>
      <c r="AO669" s="773" t="s">
        <v>1294</v>
      </c>
      <c r="AP669" s="773">
        <v>32</v>
      </c>
      <c r="AQ669" s="769">
        <v>20</v>
      </c>
      <c r="AR669" s="770">
        <v>10</v>
      </c>
      <c r="AS669" s="766">
        <v>45</v>
      </c>
      <c r="AT669" s="768">
        <v>67</v>
      </c>
      <c r="AU669" s="767">
        <v>6.5</v>
      </c>
      <c r="AV669" s="768">
        <v>25.3</v>
      </c>
      <c r="AW669" s="765">
        <v>104</v>
      </c>
      <c r="AX669" s="765">
        <v>806</v>
      </c>
      <c r="AY669" s="765">
        <v>111</v>
      </c>
      <c r="AZ669" s="765">
        <v>1090</v>
      </c>
      <c r="BA669" s="765">
        <v>43.1</v>
      </c>
      <c r="BB669" s="765">
        <v>338</v>
      </c>
      <c r="BC669" s="765">
        <v>65</v>
      </c>
      <c r="BD669" s="765">
        <v>513</v>
      </c>
      <c r="BE669" s="767">
        <v>0.40849390909763622</v>
      </c>
      <c r="BF669" s="768">
        <v>240.4</v>
      </c>
      <c r="BG669" s="765">
        <v>757</v>
      </c>
      <c r="BH669" s="765">
        <v>623</v>
      </c>
      <c r="BI669" s="765">
        <v>15300</v>
      </c>
      <c r="BJ669" s="765">
        <v>15.2</v>
      </c>
      <c r="BK669" s="765">
        <v>230</v>
      </c>
      <c r="BL669" s="771">
        <v>538</v>
      </c>
    </row>
    <row r="670" spans="35:64" x14ac:dyDescent="0.3">
      <c r="AI670" s="763" t="s">
        <v>1295</v>
      </c>
      <c r="AJ670" s="764">
        <v>6250</v>
      </c>
      <c r="AK670" s="765">
        <v>247</v>
      </c>
      <c r="AL670" s="765">
        <v>7.4</v>
      </c>
      <c r="AM670" s="765">
        <v>202</v>
      </c>
      <c r="AN670" s="765">
        <v>11</v>
      </c>
      <c r="AO670" s="773" t="s">
        <v>1296</v>
      </c>
      <c r="AP670" s="773">
        <v>31</v>
      </c>
      <c r="AQ670" s="769">
        <v>20</v>
      </c>
      <c r="AR670" s="770">
        <v>10</v>
      </c>
      <c r="AS670" s="766">
        <v>39</v>
      </c>
      <c r="AT670" s="768">
        <v>58</v>
      </c>
      <c r="AU670" s="767">
        <v>7.52</v>
      </c>
      <c r="AV670" s="768">
        <v>28.1</v>
      </c>
      <c r="AW670" s="765">
        <v>87.3</v>
      </c>
      <c r="AX670" s="765">
        <v>693</v>
      </c>
      <c r="AY670" s="765">
        <v>110</v>
      </c>
      <c r="AZ670" s="765">
        <v>985</v>
      </c>
      <c r="BA670" s="765">
        <v>38.799999999999997</v>
      </c>
      <c r="BB670" s="765">
        <v>306</v>
      </c>
      <c r="BC670" s="765">
        <v>64.599999999999994</v>
      </c>
      <c r="BD670" s="765">
        <v>463</v>
      </c>
      <c r="BE670" s="767">
        <v>0.40546219040000198</v>
      </c>
      <c r="BF670" s="767">
        <v>238.8</v>
      </c>
      <c r="BG670" s="765">
        <v>575</v>
      </c>
      <c r="BH670" s="765">
        <v>553</v>
      </c>
      <c r="BI670" s="765">
        <v>15200</v>
      </c>
      <c r="BJ670" s="765">
        <v>13.7</v>
      </c>
      <c r="BK670" s="765">
        <v>208</v>
      </c>
      <c r="BL670" s="771">
        <v>485</v>
      </c>
    </row>
    <row r="671" spans="35:64" x14ac:dyDescent="0.3">
      <c r="AI671" s="763" t="s">
        <v>1297</v>
      </c>
      <c r="AJ671" s="764">
        <v>5720</v>
      </c>
      <c r="AK671" s="765">
        <v>266</v>
      </c>
      <c r="AL671" s="765">
        <v>7.6</v>
      </c>
      <c r="AM671" s="765">
        <v>148</v>
      </c>
      <c r="AN671" s="765">
        <v>13</v>
      </c>
      <c r="AO671" s="773" t="s">
        <v>1298</v>
      </c>
      <c r="AP671" s="773">
        <v>32</v>
      </c>
      <c r="AQ671" s="770">
        <v>20</v>
      </c>
      <c r="AR671" s="770">
        <v>10</v>
      </c>
      <c r="AS671" s="766">
        <v>33</v>
      </c>
      <c r="AT671" s="768">
        <v>49</v>
      </c>
      <c r="AU671" s="767">
        <v>9.18</v>
      </c>
      <c r="AV671" s="768">
        <v>30.4</v>
      </c>
      <c r="AW671" s="765">
        <v>70.599999999999994</v>
      </c>
      <c r="AX671" s="765">
        <v>572</v>
      </c>
      <c r="AY671" s="765">
        <v>110</v>
      </c>
      <c r="AZ671" s="765">
        <v>901</v>
      </c>
      <c r="BA671" s="765">
        <v>22.2</v>
      </c>
      <c r="BB671" s="765">
        <v>218</v>
      </c>
      <c r="BC671" s="765">
        <v>51</v>
      </c>
      <c r="BD671" s="765">
        <v>332</v>
      </c>
      <c r="BE671" s="767">
        <v>0.32438217038094103</v>
      </c>
      <c r="BF671" s="767">
        <v>241.3</v>
      </c>
      <c r="BG671" s="765">
        <v>625</v>
      </c>
      <c r="BH671" s="765">
        <v>324</v>
      </c>
      <c r="BI671" s="765">
        <v>12300</v>
      </c>
      <c r="BJ671" s="765">
        <v>9.85</v>
      </c>
      <c r="BK671" s="765">
        <v>185</v>
      </c>
      <c r="BL671" s="771">
        <v>443</v>
      </c>
    </row>
    <row r="672" spans="35:64" x14ac:dyDescent="0.3">
      <c r="AI672" s="763" t="s">
        <v>1299</v>
      </c>
      <c r="AJ672" s="764">
        <v>4920</v>
      </c>
      <c r="AK672" s="765">
        <v>262</v>
      </c>
      <c r="AL672" s="765">
        <v>6.6</v>
      </c>
      <c r="AM672" s="765">
        <v>147</v>
      </c>
      <c r="AN672" s="765">
        <v>11.2</v>
      </c>
      <c r="AO672" s="773" t="s">
        <v>1300</v>
      </c>
      <c r="AP672" s="773">
        <v>30</v>
      </c>
      <c r="AQ672" s="769">
        <v>19</v>
      </c>
      <c r="AR672" s="770">
        <v>10</v>
      </c>
      <c r="AS672" s="766">
        <v>30</v>
      </c>
      <c r="AT672" s="768">
        <v>45</v>
      </c>
      <c r="AU672" s="767">
        <v>5.69</v>
      </c>
      <c r="AV672" s="768">
        <v>31.6</v>
      </c>
      <c r="AW672" s="765">
        <v>71.099999999999994</v>
      </c>
      <c r="AX672" s="765">
        <v>534</v>
      </c>
      <c r="AY672" s="765">
        <v>108</v>
      </c>
      <c r="AZ672" s="765">
        <v>770</v>
      </c>
      <c r="BA672" s="765">
        <v>18.8</v>
      </c>
      <c r="BB672" s="765">
        <v>186</v>
      </c>
      <c r="BC672" s="765">
        <v>50.4</v>
      </c>
      <c r="BD672" s="765">
        <v>283</v>
      </c>
      <c r="BE672" s="767">
        <v>0.32004168149200168</v>
      </c>
      <c r="BF672" s="767">
        <v>238.5</v>
      </c>
      <c r="BG672" s="765">
        <v>409</v>
      </c>
      <c r="BH672" s="765">
        <v>268</v>
      </c>
      <c r="BI672" s="765">
        <v>12100</v>
      </c>
      <c r="BJ672" s="765">
        <v>8.2899999999999991</v>
      </c>
      <c r="BK672" s="765">
        <v>157</v>
      </c>
      <c r="BL672" s="771">
        <v>377</v>
      </c>
    </row>
    <row r="673" spans="35:64" x14ac:dyDescent="0.3">
      <c r="AI673" s="763" t="s">
        <v>1301</v>
      </c>
      <c r="AJ673" s="764">
        <v>4170</v>
      </c>
      <c r="AK673" s="765">
        <v>258</v>
      </c>
      <c r="AL673" s="765">
        <v>6.1</v>
      </c>
      <c r="AM673" s="765">
        <v>146</v>
      </c>
      <c r="AN673" s="765">
        <v>9.1</v>
      </c>
      <c r="AO673" s="773" t="s">
        <v>1302</v>
      </c>
      <c r="AP673" s="773">
        <v>28</v>
      </c>
      <c r="AQ673" s="769">
        <v>19</v>
      </c>
      <c r="AR673" s="770">
        <v>10</v>
      </c>
      <c r="AS673" s="766">
        <v>26</v>
      </c>
      <c r="AT673" s="768">
        <v>39</v>
      </c>
      <c r="AU673" s="767">
        <v>6.56</v>
      </c>
      <c r="AV673" s="768">
        <v>36.299999999999997</v>
      </c>
      <c r="AW673" s="765">
        <v>60.1</v>
      </c>
      <c r="AX673" s="765">
        <v>459</v>
      </c>
      <c r="AY673" s="765">
        <v>106</v>
      </c>
      <c r="AZ673" s="765">
        <v>633</v>
      </c>
      <c r="BA673" s="765">
        <v>15.1</v>
      </c>
      <c r="BB673" s="765">
        <v>150</v>
      </c>
      <c r="BC673" s="765">
        <v>49.2</v>
      </c>
      <c r="BD673" s="765">
        <v>228</v>
      </c>
      <c r="BE673" s="767">
        <v>0.31413536841731049</v>
      </c>
      <c r="BF673" s="767">
        <v>236</v>
      </c>
      <c r="BG673" s="765">
        <v>241</v>
      </c>
      <c r="BH673" s="765">
        <v>211</v>
      </c>
      <c r="BI673" s="765">
        <v>11900</v>
      </c>
      <c r="BJ673" s="765">
        <v>6.62</v>
      </c>
      <c r="BK673" s="765">
        <v>126</v>
      </c>
      <c r="BL673" s="771">
        <v>309</v>
      </c>
    </row>
    <row r="674" spans="35:64" x14ac:dyDescent="0.3">
      <c r="AI674" s="763" t="s">
        <v>1303</v>
      </c>
      <c r="AJ674" s="764">
        <v>3110</v>
      </c>
      <c r="AK674" s="765">
        <v>253</v>
      </c>
      <c r="AL674" s="765">
        <v>5</v>
      </c>
      <c r="AM674" s="765">
        <v>145</v>
      </c>
      <c r="AN674" s="765">
        <v>6.4</v>
      </c>
      <c r="AO674" s="773" t="s">
        <v>1304</v>
      </c>
      <c r="AP674" s="773">
        <v>27</v>
      </c>
      <c r="AQ674" s="769">
        <v>17</v>
      </c>
      <c r="AR674" s="770">
        <v>10</v>
      </c>
      <c r="AS674" s="766">
        <v>22</v>
      </c>
      <c r="AT674" s="768">
        <v>33</v>
      </c>
      <c r="AU674" s="767">
        <v>8.02</v>
      </c>
      <c r="AV674" s="768">
        <v>39.299999999999997</v>
      </c>
      <c r="AW674" s="765">
        <v>48.9</v>
      </c>
      <c r="AX674" s="765">
        <v>379</v>
      </c>
      <c r="AY674" s="765">
        <v>111</v>
      </c>
      <c r="AZ674" s="765">
        <v>602</v>
      </c>
      <c r="BA674" s="765">
        <v>7.03</v>
      </c>
      <c r="BB674" s="765">
        <v>95.1</v>
      </c>
      <c r="BC674" s="765">
        <v>35.1</v>
      </c>
      <c r="BD674" s="765">
        <v>146</v>
      </c>
      <c r="BE674" s="767">
        <v>0.2297406331455909</v>
      </c>
      <c r="BF674" s="767">
        <v>253</v>
      </c>
      <c r="BG674" s="765">
        <v>261</v>
      </c>
      <c r="BH674" s="765">
        <v>113</v>
      </c>
      <c r="BI674" s="765">
        <v>9360</v>
      </c>
      <c r="BJ674" s="765">
        <v>4.5</v>
      </c>
      <c r="BK674" s="765">
        <v>115</v>
      </c>
      <c r="BL674" s="771">
        <v>298</v>
      </c>
    </row>
    <row r="675" spans="35:64" x14ac:dyDescent="0.3">
      <c r="AI675" s="763" t="s">
        <v>1305</v>
      </c>
      <c r="AJ675" s="764">
        <v>3630</v>
      </c>
      <c r="AK675" s="765">
        <v>260</v>
      </c>
      <c r="AL675" s="765">
        <v>6.4</v>
      </c>
      <c r="AM675" s="765">
        <v>102</v>
      </c>
      <c r="AN675" s="765">
        <v>10</v>
      </c>
      <c r="AO675" s="773" t="s">
        <v>1306</v>
      </c>
      <c r="AP675" s="773">
        <v>25</v>
      </c>
      <c r="AQ675" s="769">
        <v>16</v>
      </c>
      <c r="AR675" s="770">
        <v>10</v>
      </c>
      <c r="AS675" s="766">
        <v>16</v>
      </c>
      <c r="AT675" s="768">
        <v>24</v>
      </c>
      <c r="AU675" s="767">
        <v>11.3</v>
      </c>
      <c r="AV675" s="768">
        <v>48</v>
      </c>
      <c r="AW675" s="765">
        <v>34.700000000000003</v>
      </c>
      <c r="AX675" s="765">
        <v>274</v>
      </c>
      <c r="AY675" s="765">
        <v>110</v>
      </c>
      <c r="AZ675" s="765">
        <v>513</v>
      </c>
      <c r="BA675" s="765">
        <v>5.94</v>
      </c>
      <c r="BB675" s="765">
        <v>80.8</v>
      </c>
      <c r="BC675" s="765">
        <v>34.700000000000003</v>
      </c>
      <c r="BD675" s="765">
        <v>124</v>
      </c>
      <c r="BE675" s="773">
        <v>0.22653065855102261</v>
      </c>
      <c r="BF675" s="767">
        <v>250.8</v>
      </c>
      <c r="BG675" s="765">
        <v>169</v>
      </c>
      <c r="BH675" s="765">
        <v>93.4</v>
      </c>
      <c r="BI675" s="765">
        <v>9220</v>
      </c>
      <c r="BJ675" s="765">
        <v>3.79</v>
      </c>
      <c r="BK675" s="765">
        <v>98.6</v>
      </c>
      <c r="BL675" s="771">
        <v>254</v>
      </c>
    </row>
    <row r="676" spans="35:64" x14ac:dyDescent="0.3">
      <c r="AI676" s="763" t="s">
        <v>1307</v>
      </c>
      <c r="AJ676" s="764">
        <v>3230</v>
      </c>
      <c r="AK676" s="765">
        <v>257</v>
      </c>
      <c r="AL676" s="765">
        <v>6.1</v>
      </c>
      <c r="AM676" s="765">
        <v>102</v>
      </c>
      <c r="AN676" s="765">
        <v>8.4</v>
      </c>
      <c r="AO676" s="767" t="s">
        <v>1308</v>
      </c>
      <c r="AP676" s="767">
        <v>23</v>
      </c>
      <c r="AQ676" s="769">
        <v>16</v>
      </c>
      <c r="AR676" s="770">
        <v>10</v>
      </c>
      <c r="AS676" s="766">
        <v>19</v>
      </c>
      <c r="AT676" s="768">
        <v>28</v>
      </c>
      <c r="AU676" s="767">
        <v>5.0999999999999996</v>
      </c>
      <c r="AV676" s="768">
        <v>37.5</v>
      </c>
      <c r="AW676" s="765">
        <v>40</v>
      </c>
      <c r="AX676" s="765">
        <v>307</v>
      </c>
      <c r="AY676" s="765">
        <v>108</v>
      </c>
      <c r="AZ676" s="765">
        <v>424</v>
      </c>
      <c r="BA676" s="765">
        <v>4.7300000000000004</v>
      </c>
      <c r="BB676" s="765">
        <v>64.7</v>
      </c>
      <c r="BC676" s="765">
        <v>33.700000000000003</v>
      </c>
      <c r="BD676" s="765">
        <v>99.5</v>
      </c>
      <c r="BE676" s="767">
        <v>0.22157637369929351</v>
      </c>
      <c r="BF676" s="767">
        <v>248.9</v>
      </c>
      <c r="BG676" s="765">
        <v>98.5</v>
      </c>
      <c r="BH676" s="765">
        <v>73.2</v>
      </c>
      <c r="BI676" s="765">
        <v>9080</v>
      </c>
      <c r="BJ676" s="765">
        <v>3.02</v>
      </c>
      <c r="BK676" s="765">
        <v>79.2</v>
      </c>
      <c r="BL676" s="771">
        <v>209</v>
      </c>
    </row>
    <row r="677" spans="35:64" x14ac:dyDescent="0.3">
      <c r="AI677" s="763" t="s">
        <v>1309</v>
      </c>
      <c r="AJ677" s="764">
        <v>2850</v>
      </c>
      <c r="AK677" s="765">
        <v>254</v>
      </c>
      <c r="AL677" s="765">
        <v>5.8</v>
      </c>
      <c r="AM677" s="765">
        <v>102</v>
      </c>
      <c r="AN677" s="765">
        <v>6.9</v>
      </c>
      <c r="AO677" s="767" t="s">
        <v>1310</v>
      </c>
      <c r="AP677" s="767">
        <v>21</v>
      </c>
      <c r="AQ677" s="769">
        <v>15</v>
      </c>
      <c r="AR677" s="770">
        <v>10</v>
      </c>
      <c r="AS677" s="766">
        <v>17</v>
      </c>
      <c r="AT677" s="768">
        <v>25</v>
      </c>
      <c r="AU677" s="767">
        <v>6.07</v>
      </c>
      <c r="AV677" s="768">
        <v>39.4</v>
      </c>
      <c r="AW677" s="765">
        <v>34.200000000000003</v>
      </c>
      <c r="AX677" s="765">
        <v>266</v>
      </c>
      <c r="AY677" s="765">
        <v>106</v>
      </c>
      <c r="AZ677" s="765">
        <v>307</v>
      </c>
      <c r="BA677" s="765">
        <v>3.26</v>
      </c>
      <c r="BB677" s="765">
        <v>44.9</v>
      </c>
      <c r="BC677" s="765">
        <v>32.4</v>
      </c>
      <c r="BD677" s="765">
        <v>69</v>
      </c>
      <c r="BE677" s="767">
        <v>0.2153180402381224</v>
      </c>
      <c r="BF677" s="767">
        <v>246.6</v>
      </c>
      <c r="BG677" s="765">
        <v>39.700000000000003</v>
      </c>
      <c r="BH677" s="765">
        <v>49.5</v>
      </c>
      <c r="BI677" s="765">
        <v>8940</v>
      </c>
      <c r="BJ677" s="765">
        <v>2.0699999999999998</v>
      </c>
      <c r="BK677" s="765">
        <v>55.2</v>
      </c>
      <c r="BL677" s="771">
        <v>150</v>
      </c>
    </row>
    <row r="678" spans="35:64" x14ac:dyDescent="0.3">
      <c r="AI678" s="763" t="s">
        <v>1311</v>
      </c>
      <c r="AJ678" s="764">
        <v>2270</v>
      </c>
      <c r="AK678" s="765">
        <v>251</v>
      </c>
      <c r="AL678" s="765">
        <v>4.8</v>
      </c>
      <c r="AM678" s="765">
        <v>101</v>
      </c>
      <c r="AN678" s="765">
        <v>5.3</v>
      </c>
      <c r="AO678" s="767" t="s">
        <v>1312</v>
      </c>
      <c r="AP678" s="767">
        <v>23</v>
      </c>
      <c r="AQ678" s="769">
        <v>14</v>
      </c>
      <c r="AR678" s="770">
        <v>10</v>
      </c>
      <c r="AS678" s="766">
        <v>15</v>
      </c>
      <c r="AT678" s="768">
        <v>22</v>
      </c>
      <c r="AU678" s="767">
        <v>7.39</v>
      </c>
      <c r="AV678" s="768">
        <v>41.4</v>
      </c>
      <c r="AW678" s="765">
        <v>28.9</v>
      </c>
      <c r="AX678" s="765">
        <v>227</v>
      </c>
      <c r="AY678" s="765">
        <v>105</v>
      </c>
      <c r="AZ678" s="765">
        <v>353</v>
      </c>
      <c r="BA678" s="765">
        <v>1.78</v>
      </c>
      <c r="BB678" s="765">
        <v>34.799999999999997</v>
      </c>
      <c r="BC678" s="765">
        <v>22.1</v>
      </c>
      <c r="BD678" s="765">
        <v>54.7</v>
      </c>
      <c r="BE678" s="767">
        <v>0.15123619946824179</v>
      </c>
      <c r="BF678" s="767">
        <v>250</v>
      </c>
      <c r="BG678" s="765">
        <v>96.7</v>
      </c>
      <c r="BH678" s="765">
        <v>27.7</v>
      </c>
      <c r="BI678" s="765">
        <v>6380</v>
      </c>
      <c r="BJ678" s="765">
        <v>1.63</v>
      </c>
      <c r="BK678" s="765">
        <v>59.8</v>
      </c>
      <c r="BL678" s="771">
        <v>174</v>
      </c>
    </row>
    <row r="679" spans="35:64" x14ac:dyDescent="0.3">
      <c r="AI679" s="763" t="s">
        <v>1313</v>
      </c>
      <c r="AJ679" s="764">
        <v>12700</v>
      </c>
      <c r="AK679" s="765">
        <v>229</v>
      </c>
      <c r="AL679" s="765">
        <v>14.5</v>
      </c>
      <c r="AM679" s="765">
        <v>210</v>
      </c>
      <c r="AN679" s="765">
        <v>23.7</v>
      </c>
      <c r="AO679" s="773" t="s">
        <v>1314</v>
      </c>
      <c r="AP679" s="773">
        <v>21</v>
      </c>
      <c r="AQ679" s="769">
        <v>14</v>
      </c>
      <c r="AR679" s="770">
        <v>10</v>
      </c>
      <c r="AS679" s="766">
        <v>12</v>
      </c>
      <c r="AT679" s="768">
        <v>18</v>
      </c>
      <c r="AU679" s="767">
        <v>9.5299999999999994</v>
      </c>
      <c r="AV679" s="768">
        <v>50.1</v>
      </c>
      <c r="AW679" s="765">
        <v>22.4</v>
      </c>
      <c r="AX679" s="765">
        <v>179</v>
      </c>
      <c r="AY679" s="765">
        <v>103</v>
      </c>
      <c r="AZ679" s="765">
        <v>307</v>
      </c>
      <c r="BA679" s="765">
        <v>1.49</v>
      </c>
      <c r="BB679" s="765">
        <v>29.2</v>
      </c>
      <c r="BC679" s="765">
        <v>21.5</v>
      </c>
      <c r="BD679" s="765">
        <v>46.2</v>
      </c>
      <c r="BE679" s="767">
        <v>0.14835005367690959</v>
      </c>
      <c r="BF679" s="767">
        <v>248.6</v>
      </c>
      <c r="BG679" s="765">
        <v>65.2</v>
      </c>
      <c r="BH679" s="765">
        <v>23</v>
      </c>
      <c r="BI679" s="765">
        <v>6340</v>
      </c>
      <c r="BJ679" s="765">
        <v>1.36</v>
      </c>
      <c r="BK679" s="765">
        <v>50.1</v>
      </c>
      <c r="BL679" s="771">
        <v>150</v>
      </c>
    </row>
    <row r="680" spans="35:64" x14ac:dyDescent="0.3">
      <c r="AI680" s="763" t="s">
        <v>1315</v>
      </c>
      <c r="AJ680" s="764">
        <v>11000</v>
      </c>
      <c r="AK680" s="765">
        <v>222</v>
      </c>
      <c r="AL680" s="765">
        <v>13</v>
      </c>
      <c r="AM680" s="765">
        <v>209</v>
      </c>
      <c r="AN680" s="765">
        <v>20.6</v>
      </c>
      <c r="AO680" s="773" t="s">
        <v>1316</v>
      </c>
      <c r="AP680" s="773">
        <v>20</v>
      </c>
      <c r="AQ680" s="769">
        <v>14</v>
      </c>
      <c r="AR680" s="770">
        <v>10</v>
      </c>
      <c r="AS680" s="766">
        <v>67</v>
      </c>
      <c r="AT680" s="768">
        <v>100</v>
      </c>
      <c r="AU680" s="767">
        <v>4.43</v>
      </c>
      <c r="AV680" s="768">
        <v>12.5</v>
      </c>
      <c r="AW680" s="765">
        <v>113</v>
      </c>
      <c r="AX680" s="765">
        <v>989</v>
      </c>
      <c r="AY680" s="765">
        <v>101</v>
      </c>
      <c r="AZ680" s="765">
        <v>263</v>
      </c>
      <c r="BA680" s="765">
        <v>1.23</v>
      </c>
      <c r="BB680" s="765">
        <v>24</v>
      </c>
      <c r="BC680" s="765">
        <v>20.7</v>
      </c>
      <c r="BD680" s="765">
        <v>38.1</v>
      </c>
      <c r="BE680" s="767">
        <v>0.145352916701982</v>
      </c>
      <c r="BF680" s="767">
        <v>247.1</v>
      </c>
      <c r="BG680" s="765">
        <v>43.4</v>
      </c>
      <c r="BH680" s="765">
        <v>18.7</v>
      </c>
      <c r="BI680" s="765">
        <v>6300</v>
      </c>
      <c r="BJ680" s="765">
        <v>1.1100000000000001</v>
      </c>
      <c r="BK680" s="765">
        <v>41</v>
      </c>
      <c r="BL680" s="771">
        <v>129</v>
      </c>
    </row>
    <row r="681" spans="35:64" x14ac:dyDescent="0.3">
      <c r="AI681" s="763" t="s">
        <v>1317</v>
      </c>
      <c r="AJ681" s="764">
        <v>9100</v>
      </c>
      <c r="AK681" s="765">
        <v>216</v>
      </c>
      <c r="AL681" s="765">
        <v>10.199999999999999</v>
      </c>
      <c r="AM681" s="765">
        <v>206</v>
      </c>
      <c r="AN681" s="765">
        <v>17.399999999999999</v>
      </c>
      <c r="AO681" s="773" t="s">
        <v>1318</v>
      </c>
      <c r="AP681" s="773">
        <v>18</v>
      </c>
      <c r="AQ681" s="769">
        <v>14</v>
      </c>
      <c r="AR681" s="770">
        <v>10</v>
      </c>
      <c r="AS681" s="766">
        <v>58</v>
      </c>
      <c r="AT681" s="768">
        <v>86</v>
      </c>
      <c r="AU681" s="767">
        <v>5.07</v>
      </c>
      <c r="AV681" s="768">
        <v>13.9</v>
      </c>
      <c r="AW681" s="765">
        <v>94.7</v>
      </c>
      <c r="AX681" s="765">
        <v>853</v>
      </c>
      <c r="AY681" s="765">
        <v>99.3</v>
      </c>
      <c r="AZ681" s="765">
        <v>207</v>
      </c>
      <c r="BA681" s="765">
        <v>0.91300000000000003</v>
      </c>
      <c r="BB681" s="765">
        <v>18.100000000000001</v>
      </c>
      <c r="BC681" s="765">
        <v>20</v>
      </c>
      <c r="BD681" s="765">
        <v>28.6</v>
      </c>
      <c r="BE681" s="767">
        <v>0.14081890096259669</v>
      </c>
      <c r="BF681" s="767">
        <v>245.7</v>
      </c>
      <c r="BG681" s="765">
        <v>22.4</v>
      </c>
      <c r="BH681" s="765">
        <v>13.8</v>
      </c>
      <c r="BI681" s="765">
        <v>6200</v>
      </c>
      <c r="BJ681" s="765">
        <v>0.83</v>
      </c>
      <c r="BK681" s="765">
        <v>31.3</v>
      </c>
      <c r="BL681" s="771">
        <v>100</v>
      </c>
    </row>
    <row r="682" spans="35:64" x14ac:dyDescent="0.3">
      <c r="AI682" s="763" t="s">
        <v>1319</v>
      </c>
      <c r="AJ682" s="764">
        <v>7560</v>
      </c>
      <c r="AK682" s="765">
        <v>210</v>
      </c>
      <c r="AL682" s="765">
        <v>9.1</v>
      </c>
      <c r="AM682" s="765">
        <v>205</v>
      </c>
      <c r="AN682" s="765">
        <v>14.2</v>
      </c>
      <c r="AO682" s="773" t="s">
        <v>1320</v>
      </c>
      <c r="AP682" s="773">
        <v>40</v>
      </c>
      <c r="AQ682" s="769">
        <v>22</v>
      </c>
      <c r="AR682" s="770">
        <v>8</v>
      </c>
      <c r="AS682" s="766">
        <v>48</v>
      </c>
      <c r="AT682" s="768">
        <v>71</v>
      </c>
      <c r="AU682" s="767">
        <v>5.92</v>
      </c>
      <c r="AV682" s="768">
        <v>17.8</v>
      </c>
      <c r="AW682" s="765">
        <v>76.599999999999994</v>
      </c>
      <c r="AX682" s="765">
        <v>709</v>
      </c>
      <c r="AY682" s="765">
        <v>94.5</v>
      </c>
      <c r="AZ682" s="765">
        <v>1150</v>
      </c>
      <c r="BA682" s="765">
        <v>36.6</v>
      </c>
      <c r="BB682" s="765">
        <v>349</v>
      </c>
      <c r="BC682" s="765">
        <v>53.8</v>
      </c>
      <c r="BD682" s="765">
        <v>533</v>
      </c>
      <c r="BE682" s="767">
        <v>0.34667214826279469</v>
      </c>
      <c r="BF682" s="767">
        <v>205.3</v>
      </c>
      <c r="BG682" s="765">
        <v>2090</v>
      </c>
      <c r="BH682" s="765">
        <v>386</v>
      </c>
      <c r="BI682" s="765">
        <v>10800</v>
      </c>
      <c r="BJ682" s="765">
        <v>13.4</v>
      </c>
      <c r="BK682" s="765">
        <v>238</v>
      </c>
      <c r="BL682" s="771">
        <v>571</v>
      </c>
    </row>
    <row r="683" spans="35:64" x14ac:dyDescent="0.3">
      <c r="AI683" s="763" t="s">
        <v>1321</v>
      </c>
      <c r="AJ683" s="764">
        <v>6650</v>
      </c>
      <c r="AK683" s="765">
        <v>206</v>
      </c>
      <c r="AL683" s="765">
        <v>7.9</v>
      </c>
      <c r="AM683" s="765">
        <v>204</v>
      </c>
      <c r="AN683" s="765">
        <v>12.6</v>
      </c>
      <c r="AO683" s="773" t="s">
        <v>1322</v>
      </c>
      <c r="AP683" s="773">
        <v>37</v>
      </c>
      <c r="AQ683" s="769">
        <v>22</v>
      </c>
      <c r="AR683" s="770">
        <v>8</v>
      </c>
      <c r="AS683" s="766">
        <v>40</v>
      </c>
      <c r="AT683" s="768">
        <v>59</v>
      </c>
      <c r="AU683" s="767">
        <v>7.22</v>
      </c>
      <c r="AV683" s="768">
        <v>20</v>
      </c>
      <c r="AW683" s="765">
        <v>61.1</v>
      </c>
      <c r="AX683" s="765">
        <v>582</v>
      </c>
      <c r="AY683" s="765">
        <v>92.6</v>
      </c>
      <c r="AZ683" s="765">
        <v>981</v>
      </c>
      <c r="BA683" s="765">
        <v>31.4</v>
      </c>
      <c r="BB683" s="765">
        <v>300</v>
      </c>
      <c r="BC683" s="765">
        <v>53.3</v>
      </c>
      <c r="BD683" s="765">
        <v>458</v>
      </c>
      <c r="BE683" s="767">
        <v>0.34226672274056769</v>
      </c>
      <c r="BF683" s="767">
        <v>201.4</v>
      </c>
      <c r="BG683" s="765">
        <v>1390</v>
      </c>
      <c r="BH683" s="765">
        <v>318</v>
      </c>
      <c r="BI683" s="765">
        <v>10500</v>
      </c>
      <c r="BJ683" s="765">
        <v>11.3</v>
      </c>
      <c r="BK683" s="765">
        <v>203</v>
      </c>
      <c r="BL683" s="771">
        <v>487</v>
      </c>
    </row>
    <row r="684" spans="35:64" x14ac:dyDescent="0.3">
      <c r="AI684" s="763" t="s">
        <v>1323</v>
      </c>
      <c r="AJ684" s="764">
        <v>5860</v>
      </c>
      <c r="AK684" s="765">
        <v>203</v>
      </c>
      <c r="AL684" s="765">
        <v>7.2</v>
      </c>
      <c r="AM684" s="765">
        <v>203</v>
      </c>
      <c r="AN684" s="765">
        <v>11</v>
      </c>
      <c r="AO684" s="773" t="s">
        <v>1324</v>
      </c>
      <c r="AP684" s="773">
        <v>34</v>
      </c>
      <c r="AQ684" s="769">
        <v>20</v>
      </c>
      <c r="AR684" s="770">
        <v>8</v>
      </c>
      <c r="AS684" s="766">
        <v>35</v>
      </c>
      <c r="AT684" s="768">
        <v>52</v>
      </c>
      <c r="AU684" s="767">
        <v>8.1</v>
      </c>
      <c r="AV684" s="768">
        <v>22.9</v>
      </c>
      <c r="AW684" s="765">
        <v>52.7</v>
      </c>
      <c r="AX684" s="765">
        <v>512</v>
      </c>
      <c r="AY684" s="765">
        <v>91.7</v>
      </c>
      <c r="AZ684" s="765">
        <v>803</v>
      </c>
      <c r="BA684" s="765">
        <v>25.4</v>
      </c>
      <c r="BB684" s="765">
        <v>246</v>
      </c>
      <c r="BC684" s="765">
        <v>52.8</v>
      </c>
      <c r="BD684" s="765">
        <v>375</v>
      </c>
      <c r="BE684" s="767">
        <v>0.33525117891740419</v>
      </c>
      <c r="BF684" s="767">
        <v>198.6</v>
      </c>
      <c r="BG684" s="765">
        <v>817</v>
      </c>
      <c r="BH684" s="765">
        <v>250</v>
      </c>
      <c r="BI684" s="765">
        <v>10200</v>
      </c>
      <c r="BJ684" s="765">
        <v>9.17</v>
      </c>
      <c r="BK684" s="765">
        <v>169</v>
      </c>
      <c r="BL684" s="771">
        <v>398</v>
      </c>
    </row>
    <row r="685" spans="35:64" x14ac:dyDescent="0.3">
      <c r="AI685" s="763" t="s">
        <v>1325</v>
      </c>
      <c r="AJ685" s="764">
        <v>5310</v>
      </c>
      <c r="AK685" s="765">
        <v>205</v>
      </c>
      <c r="AL685" s="765">
        <v>7.2</v>
      </c>
      <c r="AM685" s="765">
        <v>166</v>
      </c>
      <c r="AN685" s="765">
        <v>11.8</v>
      </c>
      <c r="AO685" s="773" t="s">
        <v>1326</v>
      </c>
      <c r="AP685" s="773">
        <v>31</v>
      </c>
      <c r="AQ685" s="769">
        <v>20</v>
      </c>
      <c r="AR685" s="770">
        <v>8</v>
      </c>
      <c r="AS685" s="766">
        <v>31</v>
      </c>
      <c r="AT685" s="768">
        <v>46</v>
      </c>
      <c r="AU685" s="767">
        <v>9.23</v>
      </c>
      <c r="AV685" s="768">
        <v>25.1</v>
      </c>
      <c r="AW685" s="765">
        <v>45.4</v>
      </c>
      <c r="AX685" s="765">
        <v>448</v>
      </c>
      <c r="AY685" s="765">
        <v>89.9</v>
      </c>
      <c r="AZ685" s="765">
        <v>653</v>
      </c>
      <c r="BA685" s="765">
        <v>20.399999999999999</v>
      </c>
      <c r="BB685" s="765">
        <v>199</v>
      </c>
      <c r="BC685" s="765">
        <v>52</v>
      </c>
      <c r="BD685" s="765">
        <v>303</v>
      </c>
      <c r="BE685" s="767">
        <v>0.32961735294136679</v>
      </c>
      <c r="BF685" s="767">
        <v>195.8</v>
      </c>
      <c r="BG685" s="765">
        <v>463</v>
      </c>
      <c r="BH685" s="765">
        <v>196</v>
      </c>
      <c r="BI685" s="765">
        <v>10000</v>
      </c>
      <c r="BJ685" s="765">
        <v>7.3</v>
      </c>
      <c r="BK685" s="765">
        <v>136</v>
      </c>
      <c r="BL685" s="771">
        <v>323</v>
      </c>
    </row>
    <row r="686" spans="35:64" x14ac:dyDescent="0.3">
      <c r="AI686" s="763" t="s">
        <v>1327</v>
      </c>
      <c r="AJ686" s="764">
        <v>4570</v>
      </c>
      <c r="AK686" s="765">
        <v>201</v>
      </c>
      <c r="AL686" s="765">
        <v>6.2</v>
      </c>
      <c r="AM686" s="765">
        <v>165</v>
      </c>
      <c r="AN686" s="765">
        <v>10.199999999999999</v>
      </c>
      <c r="AO686" s="773" t="s">
        <v>1328</v>
      </c>
      <c r="AP686" s="773">
        <v>29</v>
      </c>
      <c r="AQ686" s="769">
        <v>19</v>
      </c>
      <c r="AR686" s="770">
        <v>8</v>
      </c>
      <c r="AS686" s="766">
        <v>28</v>
      </c>
      <c r="AT686" s="768">
        <v>42</v>
      </c>
      <c r="AU686" s="767">
        <v>7.03</v>
      </c>
      <c r="AV686" s="768">
        <v>25.2</v>
      </c>
      <c r="AW686" s="765">
        <v>40.9</v>
      </c>
      <c r="AX686" s="765">
        <v>399</v>
      </c>
      <c r="AY686" s="765">
        <v>89</v>
      </c>
      <c r="AZ686" s="765">
        <v>569</v>
      </c>
      <c r="BA686" s="765">
        <v>17.8</v>
      </c>
      <c r="BB686" s="765">
        <v>175</v>
      </c>
      <c r="BC686" s="765">
        <v>51.8</v>
      </c>
      <c r="BD686" s="765">
        <v>266</v>
      </c>
      <c r="BE686" s="767">
        <v>0.32632409171355481</v>
      </c>
      <c r="BF686" s="767">
        <v>193.4</v>
      </c>
      <c r="BG686" s="765">
        <v>323</v>
      </c>
      <c r="BH686" s="765">
        <v>167</v>
      </c>
      <c r="BI686" s="765">
        <v>9860</v>
      </c>
      <c r="BJ686" s="765">
        <v>6.34</v>
      </c>
      <c r="BK686" s="765">
        <v>119</v>
      </c>
      <c r="BL686" s="771">
        <v>281</v>
      </c>
    </row>
    <row r="687" spans="35:64" x14ac:dyDescent="0.3">
      <c r="AI687" s="763" t="s">
        <v>1329</v>
      </c>
      <c r="AJ687" s="764">
        <v>4000</v>
      </c>
      <c r="AK687" s="765">
        <v>210</v>
      </c>
      <c r="AL687" s="765">
        <v>6.4</v>
      </c>
      <c r="AM687" s="765">
        <v>134</v>
      </c>
      <c r="AN687" s="765">
        <v>10.199999999999999</v>
      </c>
      <c r="AO687" s="773" t="s">
        <v>1330</v>
      </c>
      <c r="AP687" s="773">
        <v>28</v>
      </c>
      <c r="AQ687" s="772">
        <v>19</v>
      </c>
      <c r="AR687" s="770">
        <v>8</v>
      </c>
      <c r="AS687" s="766">
        <v>24</v>
      </c>
      <c r="AT687" s="768">
        <v>36</v>
      </c>
      <c r="AU687" s="767">
        <v>8.09</v>
      </c>
      <c r="AV687" s="768">
        <v>29.1</v>
      </c>
      <c r="AW687" s="765">
        <v>34.4</v>
      </c>
      <c r="AX687" s="765">
        <v>342</v>
      </c>
      <c r="AY687" s="765">
        <v>88.1</v>
      </c>
      <c r="AZ687" s="765">
        <v>495</v>
      </c>
      <c r="BA687" s="765">
        <v>15.3</v>
      </c>
      <c r="BB687" s="765">
        <v>151</v>
      </c>
      <c r="BC687" s="765">
        <v>51.2</v>
      </c>
      <c r="BD687" s="765">
        <v>229</v>
      </c>
      <c r="BE687" s="767">
        <v>0.32198721586343543</v>
      </c>
      <c r="BF687" s="767">
        <v>192</v>
      </c>
      <c r="BG687" s="765">
        <v>220</v>
      </c>
      <c r="BH687" s="765">
        <v>141</v>
      </c>
      <c r="BI687" s="765">
        <v>9740</v>
      </c>
      <c r="BJ687" s="765">
        <v>5.44</v>
      </c>
      <c r="BK687" s="765">
        <v>103</v>
      </c>
      <c r="BL687" s="771">
        <v>244</v>
      </c>
    </row>
    <row r="688" spans="35:64" x14ac:dyDescent="0.3">
      <c r="AI688" s="763" t="s">
        <v>1331</v>
      </c>
      <c r="AJ688" s="764">
        <v>3390</v>
      </c>
      <c r="AK688" s="765">
        <v>207</v>
      </c>
      <c r="AL688" s="765">
        <v>5.8</v>
      </c>
      <c r="AM688" s="765">
        <v>133</v>
      </c>
      <c r="AN688" s="765">
        <v>8.4</v>
      </c>
      <c r="AO688" s="773" t="s">
        <v>1332</v>
      </c>
      <c r="AP688" s="773">
        <v>24</v>
      </c>
      <c r="AQ688" s="769">
        <v>15</v>
      </c>
      <c r="AR688" s="770">
        <v>8</v>
      </c>
      <c r="AS688" s="766">
        <v>21</v>
      </c>
      <c r="AT688" s="768">
        <v>31</v>
      </c>
      <c r="AU688" s="767">
        <v>6.57</v>
      </c>
      <c r="AV688" s="768">
        <v>29.6</v>
      </c>
      <c r="AW688" s="765">
        <v>31.4</v>
      </c>
      <c r="AX688" s="765">
        <v>299</v>
      </c>
      <c r="AY688" s="765">
        <v>87.7</v>
      </c>
      <c r="AZ688" s="765">
        <v>445</v>
      </c>
      <c r="BA688" s="765">
        <v>9</v>
      </c>
      <c r="BB688" s="765">
        <v>108</v>
      </c>
      <c r="BC688" s="765">
        <v>41.2</v>
      </c>
      <c r="BD688" s="765">
        <v>165</v>
      </c>
      <c r="BE688" s="767">
        <v>0.26250888119471849</v>
      </c>
      <c r="BF688" s="767">
        <v>193.2</v>
      </c>
      <c r="BG688" s="765">
        <v>222</v>
      </c>
      <c r="BH688" s="765">
        <v>84</v>
      </c>
      <c r="BI688" s="765">
        <v>8020</v>
      </c>
      <c r="BJ688" s="765">
        <v>3.93</v>
      </c>
      <c r="BK688" s="765">
        <v>90.5</v>
      </c>
      <c r="BL688" s="771">
        <v>219</v>
      </c>
    </row>
    <row r="689" spans="35:64" x14ac:dyDescent="0.3">
      <c r="AI689" s="763" t="s">
        <v>1333</v>
      </c>
      <c r="AJ689" s="764">
        <v>2700</v>
      </c>
      <c r="AK689" s="765">
        <v>203</v>
      </c>
      <c r="AL689" s="765">
        <v>5</v>
      </c>
      <c r="AM689" s="765">
        <v>133</v>
      </c>
      <c r="AN689" s="765">
        <v>6.4</v>
      </c>
      <c r="AO689" s="773" t="s">
        <v>1334</v>
      </c>
      <c r="AP689" s="773">
        <v>23</v>
      </c>
      <c r="AQ689" s="769">
        <v>14</v>
      </c>
      <c r="AR689" s="770">
        <v>8</v>
      </c>
      <c r="AS689" s="766">
        <v>18</v>
      </c>
      <c r="AT689" s="768">
        <v>27</v>
      </c>
      <c r="AU689" s="768">
        <v>7.92</v>
      </c>
      <c r="AV689" s="768">
        <v>32.799999999999997</v>
      </c>
      <c r="AW689" s="765">
        <v>25.8</v>
      </c>
      <c r="AX689" s="765">
        <v>249</v>
      </c>
      <c r="AY689" s="765">
        <v>86.7</v>
      </c>
      <c r="AZ689" s="765">
        <v>379</v>
      </c>
      <c r="BA689" s="765">
        <v>7.64</v>
      </c>
      <c r="BB689" s="765">
        <v>92.6</v>
      </c>
      <c r="BC689" s="765">
        <v>40.9</v>
      </c>
      <c r="BD689" s="765">
        <v>141</v>
      </c>
      <c r="BE689" s="767">
        <v>0.25966451037191363</v>
      </c>
      <c r="BF689" s="767">
        <v>190.8</v>
      </c>
      <c r="BG689" s="765">
        <v>145</v>
      </c>
      <c r="BH689" s="765">
        <v>69.599999999999994</v>
      </c>
      <c r="BI689" s="765">
        <v>7870</v>
      </c>
      <c r="BJ689" s="765">
        <v>3.31</v>
      </c>
      <c r="BK689" s="765">
        <v>77.3</v>
      </c>
      <c r="BL689" s="771">
        <v>186</v>
      </c>
    </row>
    <row r="690" spans="35:64" x14ac:dyDescent="0.3">
      <c r="AI690" s="763" t="s">
        <v>1335</v>
      </c>
      <c r="AJ690" s="764">
        <v>2860</v>
      </c>
      <c r="AK690" s="765">
        <v>206</v>
      </c>
      <c r="AL690" s="765">
        <v>6.2</v>
      </c>
      <c r="AM690" s="765">
        <v>102</v>
      </c>
      <c r="AN690" s="765">
        <v>8</v>
      </c>
      <c r="AO690" s="773" t="s">
        <v>1336</v>
      </c>
      <c r="AP690" s="773">
        <v>22</v>
      </c>
      <c r="AQ690" s="769">
        <v>13</v>
      </c>
      <c r="AR690" s="770">
        <v>8</v>
      </c>
      <c r="AS690" s="766">
        <v>14</v>
      </c>
      <c r="AT690" s="768">
        <v>21</v>
      </c>
      <c r="AU690" s="767">
        <v>10.4</v>
      </c>
      <c r="AV690" s="768">
        <v>38</v>
      </c>
      <c r="AW690" s="765">
        <v>19.8</v>
      </c>
      <c r="AX690" s="765">
        <v>195</v>
      </c>
      <c r="AY690" s="765">
        <v>88.6</v>
      </c>
      <c r="AZ690" s="765">
        <v>335</v>
      </c>
      <c r="BA690" s="765">
        <v>4.0999999999999996</v>
      </c>
      <c r="BB690" s="765">
        <v>61.1</v>
      </c>
      <c r="BC690" s="765">
        <v>32</v>
      </c>
      <c r="BD690" s="765">
        <v>93.8</v>
      </c>
      <c r="BE690" s="767">
        <v>0.20810916036342461</v>
      </c>
      <c r="BF690" s="767">
        <v>199.8</v>
      </c>
      <c r="BG690" s="765">
        <v>119</v>
      </c>
      <c r="BH690" s="765">
        <v>40.9</v>
      </c>
      <c r="BI690" s="765">
        <v>6690</v>
      </c>
      <c r="BJ690" s="765">
        <v>2.29</v>
      </c>
      <c r="BK690" s="765">
        <v>65</v>
      </c>
      <c r="BL690" s="771">
        <v>165</v>
      </c>
    </row>
    <row r="691" spans="35:64" x14ac:dyDescent="0.3">
      <c r="AI691" s="763" t="s">
        <v>1337</v>
      </c>
      <c r="AJ691" s="764">
        <v>2480</v>
      </c>
      <c r="AK691" s="765">
        <v>203</v>
      </c>
      <c r="AL691" s="765">
        <v>5.8</v>
      </c>
      <c r="AM691" s="765">
        <v>102</v>
      </c>
      <c r="AN691" s="765">
        <v>6.5</v>
      </c>
      <c r="AO691" s="773" t="s">
        <v>1338</v>
      </c>
      <c r="AP691" s="773">
        <v>20</v>
      </c>
      <c r="AQ691" s="769">
        <v>13</v>
      </c>
      <c r="AR691" s="770">
        <v>8</v>
      </c>
      <c r="AS691" s="766">
        <v>15</v>
      </c>
      <c r="AT691" s="768">
        <v>22</v>
      </c>
      <c r="AU691" s="767">
        <v>6.38</v>
      </c>
      <c r="AV691" s="768">
        <v>30.6</v>
      </c>
      <c r="AW691" s="765">
        <v>20</v>
      </c>
      <c r="AX691" s="765">
        <v>194</v>
      </c>
      <c r="AY691" s="765">
        <v>87.3</v>
      </c>
      <c r="AZ691" s="765">
        <v>279</v>
      </c>
      <c r="BA691" s="765">
        <v>3.3</v>
      </c>
      <c r="BB691" s="765">
        <v>49.6</v>
      </c>
      <c r="BC691" s="765">
        <v>31.2</v>
      </c>
      <c r="BD691" s="765">
        <v>76.099999999999994</v>
      </c>
      <c r="BE691" s="767">
        <v>0.20393870238810219</v>
      </c>
      <c r="BF691" s="767">
        <v>198.6</v>
      </c>
      <c r="BG691" s="765">
        <v>71.3</v>
      </c>
      <c r="BH691" s="765">
        <v>32.5</v>
      </c>
      <c r="BI691" s="765">
        <v>6600</v>
      </c>
      <c r="BJ691" s="765">
        <v>1.84</v>
      </c>
      <c r="BK691" s="765">
        <v>53.1</v>
      </c>
      <c r="BL691" s="771">
        <v>137</v>
      </c>
    </row>
    <row r="692" spans="35:64" x14ac:dyDescent="0.3">
      <c r="AI692" s="763" t="s">
        <v>1339</v>
      </c>
      <c r="AJ692" s="764">
        <v>1900</v>
      </c>
      <c r="AK692" s="765">
        <v>200</v>
      </c>
      <c r="AL692" s="765">
        <v>4.3</v>
      </c>
      <c r="AM692" s="765">
        <v>100</v>
      </c>
      <c r="AN692" s="765">
        <v>5.2</v>
      </c>
      <c r="AO692" s="773" t="s">
        <v>1340</v>
      </c>
      <c r="AP692" s="773">
        <v>18</v>
      </c>
      <c r="AQ692" s="769">
        <v>13</v>
      </c>
      <c r="AR692" s="770">
        <v>8</v>
      </c>
      <c r="AS692" s="766">
        <v>13</v>
      </c>
      <c r="AT692" s="767">
        <v>19</v>
      </c>
      <c r="AU692" s="767">
        <v>7.85</v>
      </c>
      <c r="AV692" s="768">
        <v>32.799999999999997</v>
      </c>
      <c r="AW692" s="765">
        <v>16.600000000000001</v>
      </c>
      <c r="AX692" s="765">
        <v>163</v>
      </c>
      <c r="AY692" s="765">
        <v>85.5</v>
      </c>
      <c r="AZ692" s="765">
        <v>217</v>
      </c>
      <c r="BA692" s="765">
        <v>2.5099999999999998</v>
      </c>
      <c r="BB692" s="765">
        <v>37.799999999999997</v>
      </c>
      <c r="BC692" s="765">
        <v>30.5</v>
      </c>
      <c r="BD692" s="765">
        <v>58</v>
      </c>
      <c r="BE692" s="767">
        <v>0.20012562124018299</v>
      </c>
      <c r="BF692" s="767">
        <v>196.6</v>
      </c>
      <c r="BG692" s="765">
        <v>35.6</v>
      </c>
      <c r="BH692" s="765">
        <v>24.3</v>
      </c>
      <c r="BI692" s="765">
        <v>6540</v>
      </c>
      <c r="BJ692" s="765">
        <v>1.39</v>
      </c>
      <c r="BK692" s="765">
        <v>40.299999999999997</v>
      </c>
      <c r="BL692" s="771">
        <v>106</v>
      </c>
    </row>
    <row r="693" spans="35:64" x14ac:dyDescent="0.3">
      <c r="AI693" s="763" t="s">
        <v>1341</v>
      </c>
      <c r="AJ693" s="764">
        <v>4750</v>
      </c>
      <c r="AK693" s="765">
        <v>162</v>
      </c>
      <c r="AL693" s="765">
        <v>8.1</v>
      </c>
      <c r="AM693" s="765">
        <v>154</v>
      </c>
      <c r="AN693" s="765">
        <v>11.6</v>
      </c>
      <c r="AO693" s="773" t="s">
        <v>1342</v>
      </c>
      <c r="AP693" s="773">
        <v>20</v>
      </c>
      <c r="AQ693" s="769">
        <v>13</v>
      </c>
      <c r="AR693" s="770">
        <v>8</v>
      </c>
      <c r="AS693" s="766">
        <v>10</v>
      </c>
      <c r="AT693" s="767">
        <v>15</v>
      </c>
      <c r="AU693" s="768">
        <v>9.6199999999999992</v>
      </c>
      <c r="AV693" s="768">
        <v>44.1</v>
      </c>
      <c r="AW693" s="765">
        <v>12.7</v>
      </c>
      <c r="AX693" s="765">
        <v>127</v>
      </c>
      <c r="AY693" s="765">
        <v>83.6</v>
      </c>
      <c r="AZ693" s="765">
        <v>222</v>
      </c>
      <c r="BA693" s="765">
        <v>1.42</v>
      </c>
      <c r="BB693" s="765">
        <v>27.8</v>
      </c>
      <c r="BC693" s="765">
        <v>22.3</v>
      </c>
      <c r="BD693" s="765">
        <v>43.7</v>
      </c>
      <c r="BE693" s="767">
        <v>0.15132996136379009</v>
      </c>
      <c r="BF693" s="767">
        <v>198</v>
      </c>
      <c r="BG693" s="765">
        <v>56.6</v>
      </c>
      <c r="BH693" s="765">
        <v>13.9</v>
      </c>
      <c r="BI693" s="765">
        <v>5050</v>
      </c>
      <c r="BJ693" s="765">
        <v>1.03</v>
      </c>
      <c r="BK693" s="765">
        <v>37.9</v>
      </c>
      <c r="BL693" s="771">
        <v>109</v>
      </c>
    </row>
    <row r="694" spans="35:64" x14ac:dyDescent="0.3">
      <c r="AI694" s="763" t="s">
        <v>1343</v>
      </c>
      <c r="AJ694" s="764">
        <v>3810</v>
      </c>
      <c r="AK694" s="765">
        <v>157</v>
      </c>
      <c r="AL694" s="765">
        <v>6.6</v>
      </c>
      <c r="AM694" s="765">
        <v>153</v>
      </c>
      <c r="AN694" s="765">
        <v>9.3000000000000007</v>
      </c>
      <c r="AO694" s="773" t="s">
        <v>1344</v>
      </c>
      <c r="AP694" s="773">
        <v>18</v>
      </c>
      <c r="AQ694" s="769">
        <v>13</v>
      </c>
      <c r="AR694" s="770">
        <v>8</v>
      </c>
      <c r="AS694" s="766">
        <v>25</v>
      </c>
      <c r="AT694" s="768">
        <v>37</v>
      </c>
      <c r="AU694" s="767">
        <v>6.64</v>
      </c>
      <c r="AV694" s="768">
        <v>17.100000000000001</v>
      </c>
      <c r="AW694" s="765">
        <v>22.3</v>
      </c>
      <c r="AX694" s="765">
        <v>275</v>
      </c>
      <c r="AY694" s="765">
        <v>81.7</v>
      </c>
      <c r="AZ694" s="765">
        <v>187</v>
      </c>
      <c r="BA694" s="765">
        <v>1.1499999999999999</v>
      </c>
      <c r="BB694" s="765">
        <v>22.6</v>
      </c>
      <c r="BC694" s="765">
        <v>21.6</v>
      </c>
      <c r="BD694" s="765">
        <v>35.6</v>
      </c>
      <c r="BE694" s="767">
        <v>0.1480510195801146</v>
      </c>
      <c r="BF694" s="767">
        <v>196.5</v>
      </c>
      <c r="BG694" s="765">
        <v>36.200000000000003</v>
      </c>
      <c r="BH694" s="765">
        <v>11.1</v>
      </c>
      <c r="BI694" s="765">
        <v>5010</v>
      </c>
      <c r="BJ694" s="765">
        <v>0.83099999999999996</v>
      </c>
      <c r="BK694" s="765">
        <v>30.7</v>
      </c>
      <c r="BL694" s="771">
        <v>91.3</v>
      </c>
    </row>
    <row r="695" spans="35:64" x14ac:dyDescent="0.3">
      <c r="AI695" s="775" t="s">
        <v>1345</v>
      </c>
      <c r="AJ695" s="776">
        <v>2860</v>
      </c>
      <c r="AK695" s="777">
        <v>152</v>
      </c>
      <c r="AL695" s="777">
        <v>5.8</v>
      </c>
      <c r="AM695" s="777">
        <v>152</v>
      </c>
      <c r="AN695" s="777">
        <v>6.6</v>
      </c>
      <c r="AO695" s="773" t="s">
        <v>1346</v>
      </c>
      <c r="AP695" s="773">
        <v>17</v>
      </c>
      <c r="AQ695" s="769">
        <v>12</v>
      </c>
      <c r="AR695" s="770">
        <v>8</v>
      </c>
      <c r="AS695" s="766">
        <v>20</v>
      </c>
      <c r="AT695" s="768">
        <v>30</v>
      </c>
      <c r="AU695" s="767">
        <v>8.23</v>
      </c>
      <c r="AV695" s="768">
        <v>21</v>
      </c>
      <c r="AW695" s="765">
        <v>17.2</v>
      </c>
      <c r="AX695" s="765">
        <v>219</v>
      </c>
      <c r="AY695" s="765">
        <v>81.8</v>
      </c>
      <c r="AZ695" s="765">
        <v>145</v>
      </c>
      <c r="BA695" s="765">
        <v>0.86899999999999999</v>
      </c>
      <c r="BB695" s="765">
        <v>17.399999999999999</v>
      </c>
      <c r="BC695" s="765">
        <v>21.4</v>
      </c>
      <c r="BD695" s="765">
        <v>27.1</v>
      </c>
      <c r="BE695" s="767">
        <v>0.14515596474731579</v>
      </c>
      <c r="BF695" s="767">
        <v>194.8</v>
      </c>
      <c r="BG695" s="765">
        <v>17.600000000000001</v>
      </c>
      <c r="BH695" s="765">
        <v>8.24</v>
      </c>
      <c r="BI695" s="765">
        <v>4870</v>
      </c>
      <c r="BJ695" s="765">
        <v>0.63300000000000001</v>
      </c>
      <c r="BK695" s="765">
        <v>24.2</v>
      </c>
      <c r="BL695" s="771">
        <v>70</v>
      </c>
    </row>
    <row r="696" spans="35:64" x14ac:dyDescent="0.3">
      <c r="AI696" s="9" t="s">
        <v>1347</v>
      </c>
      <c r="AJ696" s="10">
        <v>3060</v>
      </c>
      <c r="AK696" s="11">
        <v>160</v>
      </c>
      <c r="AL696" s="11">
        <v>6.6</v>
      </c>
      <c r="AM696" s="11">
        <v>102</v>
      </c>
      <c r="AN696" s="11">
        <v>10.3</v>
      </c>
      <c r="AO696" s="773" t="s">
        <v>1348</v>
      </c>
      <c r="AP696" s="773">
        <v>23</v>
      </c>
      <c r="AQ696" s="769">
        <v>14</v>
      </c>
      <c r="AR696" s="770">
        <v>6</v>
      </c>
      <c r="AS696" s="778">
        <v>15</v>
      </c>
      <c r="AT696" s="779">
        <v>22</v>
      </c>
      <c r="AU696" s="780">
        <v>11.5</v>
      </c>
      <c r="AV696" s="779">
        <v>23.9</v>
      </c>
      <c r="AW696" s="777">
        <v>12.1</v>
      </c>
      <c r="AX696" s="777">
        <v>160</v>
      </c>
      <c r="AY696" s="765">
        <v>68.5</v>
      </c>
      <c r="AZ696" s="765">
        <v>311</v>
      </c>
      <c r="BA696" s="765">
        <v>7.07</v>
      </c>
      <c r="BB696" s="765">
        <v>91.8</v>
      </c>
      <c r="BC696" s="765">
        <v>38.6</v>
      </c>
      <c r="BD696" s="765">
        <v>140</v>
      </c>
      <c r="BE696" s="767">
        <v>0.24728826320464969</v>
      </c>
      <c r="BF696" s="767">
        <v>150.4</v>
      </c>
      <c r="BG696" s="765">
        <v>197</v>
      </c>
      <c r="BH696" s="765">
        <v>40</v>
      </c>
      <c r="BI696" s="765">
        <v>5790</v>
      </c>
      <c r="BJ696" s="765">
        <v>2.59</v>
      </c>
      <c r="BK696" s="765">
        <v>63.6</v>
      </c>
      <c r="BL696" s="771">
        <v>154</v>
      </c>
    </row>
    <row r="697" spans="35:64" x14ac:dyDescent="0.3">
      <c r="AI697" s="763" t="s">
        <v>1349</v>
      </c>
      <c r="AJ697" s="764">
        <v>2290</v>
      </c>
      <c r="AK697" s="765">
        <v>153</v>
      </c>
      <c r="AL697" s="765">
        <v>5.8</v>
      </c>
      <c r="AM697" s="765">
        <v>102</v>
      </c>
      <c r="AN697" s="765">
        <v>7.1</v>
      </c>
      <c r="AO697" s="773" t="s">
        <v>1350</v>
      </c>
      <c r="AP697" s="773">
        <v>21</v>
      </c>
      <c r="AQ697" s="769">
        <v>13</v>
      </c>
      <c r="AR697" s="770">
        <v>6</v>
      </c>
      <c r="AS697" s="15">
        <v>16</v>
      </c>
      <c r="AT697" s="16">
        <v>24</v>
      </c>
      <c r="AU697" s="17">
        <v>4.95</v>
      </c>
      <c r="AV697" s="16">
        <v>21.1</v>
      </c>
      <c r="AW697" s="11">
        <v>13.4</v>
      </c>
      <c r="AX697" s="11">
        <v>168</v>
      </c>
      <c r="AY697" s="765">
        <v>67.2</v>
      </c>
      <c r="AZ697" s="765">
        <v>245</v>
      </c>
      <c r="BA697" s="765">
        <v>5.56</v>
      </c>
      <c r="BB697" s="765">
        <v>72.599999999999994</v>
      </c>
      <c r="BC697" s="765">
        <v>38.200000000000003</v>
      </c>
      <c r="BD697" s="765">
        <v>111</v>
      </c>
      <c r="BE697" s="767">
        <v>0.2434486090863914</v>
      </c>
      <c r="BF697" s="767">
        <v>147.69999999999999</v>
      </c>
      <c r="BG697" s="765">
        <v>103</v>
      </c>
      <c r="BH697" s="765">
        <v>30.3</v>
      </c>
      <c r="BI697" s="765">
        <v>5650</v>
      </c>
      <c r="BJ697" s="765">
        <v>2.0099999999999998</v>
      </c>
      <c r="BK697" s="765">
        <v>50.3</v>
      </c>
      <c r="BL697" s="771">
        <v>121</v>
      </c>
    </row>
    <row r="698" spans="35:64" x14ac:dyDescent="0.3">
      <c r="AI698" s="763" t="s">
        <v>1351</v>
      </c>
      <c r="AJ698" s="764">
        <v>1730</v>
      </c>
      <c r="AK698" s="765">
        <v>150</v>
      </c>
      <c r="AL698" s="765">
        <v>4.3</v>
      </c>
      <c r="AM698" s="765">
        <v>100</v>
      </c>
      <c r="AN698" s="765">
        <v>5.5</v>
      </c>
      <c r="AO698" s="781" t="s">
        <v>1352</v>
      </c>
      <c r="AP698" s="781">
        <v>18</v>
      </c>
      <c r="AQ698" s="782">
        <v>13</v>
      </c>
      <c r="AR698" s="783">
        <v>6</v>
      </c>
      <c r="AS698" s="766">
        <v>12</v>
      </c>
      <c r="AT698" s="768">
        <v>18</v>
      </c>
      <c r="AU698" s="767">
        <v>7.18</v>
      </c>
      <c r="AV698" s="768">
        <v>23.9</v>
      </c>
      <c r="AW698" s="765">
        <v>9.17</v>
      </c>
      <c r="AX698" s="765">
        <v>120</v>
      </c>
      <c r="AY698" s="777">
        <v>65.099999999999994</v>
      </c>
      <c r="AZ698" s="777">
        <v>177</v>
      </c>
      <c r="BA698" s="777">
        <v>3.87</v>
      </c>
      <c r="BB698" s="777">
        <v>50.9</v>
      </c>
      <c r="BC698" s="777">
        <v>36.799999999999997</v>
      </c>
      <c r="BD698" s="777">
        <v>77.599999999999994</v>
      </c>
      <c r="BE698" s="780">
        <v>0.2356542582265379</v>
      </c>
      <c r="BF698" s="780">
        <v>145.4</v>
      </c>
      <c r="BG698" s="777">
        <v>43.4</v>
      </c>
      <c r="BH698" s="777">
        <v>20.399999999999999</v>
      </c>
      <c r="BI698" s="777">
        <v>5530</v>
      </c>
      <c r="BJ698" s="777">
        <v>1.39</v>
      </c>
      <c r="BK698" s="777">
        <v>35.1</v>
      </c>
      <c r="BL698" s="784">
        <v>86.9</v>
      </c>
    </row>
    <row r="699" spans="35:64" x14ac:dyDescent="0.3">
      <c r="AI699" s="763" t="s">
        <v>1353</v>
      </c>
      <c r="AJ699" s="764">
        <v>1610</v>
      </c>
      <c r="AK699" s="765">
        <v>148</v>
      </c>
      <c r="AL699" s="765">
        <v>4.3</v>
      </c>
      <c r="AM699" s="765">
        <v>100</v>
      </c>
      <c r="AN699" s="765">
        <v>4.9000000000000004</v>
      </c>
      <c r="AO699" s="12" t="s">
        <v>1354</v>
      </c>
      <c r="AP699" s="12">
        <v>22</v>
      </c>
      <c r="AQ699" s="13">
        <v>13</v>
      </c>
      <c r="AR699" s="14">
        <v>6</v>
      </c>
      <c r="AS699" s="766">
        <v>9</v>
      </c>
      <c r="AT699" s="768">
        <v>14</v>
      </c>
      <c r="AU699" s="767">
        <v>9.09</v>
      </c>
      <c r="AV699" s="768">
        <v>32.299999999999997</v>
      </c>
      <c r="AW699" s="765">
        <v>6.87</v>
      </c>
      <c r="AX699" s="765">
        <v>91.6</v>
      </c>
      <c r="AY699" s="11">
        <v>66.3</v>
      </c>
      <c r="AZ699" s="11">
        <v>192</v>
      </c>
      <c r="BA699" s="11">
        <v>1.83</v>
      </c>
      <c r="BB699" s="11">
        <v>35.799999999999997</v>
      </c>
      <c r="BC699" s="11">
        <v>24.4</v>
      </c>
      <c r="BD699" s="11">
        <v>55.3</v>
      </c>
      <c r="BE699" s="12">
        <v>0.16036447784163729</v>
      </c>
      <c r="BF699" s="16">
        <v>149.69999999999999</v>
      </c>
      <c r="BG699" s="11">
        <v>93.1</v>
      </c>
      <c r="BH699" s="11">
        <v>10.199999999999999</v>
      </c>
      <c r="BI699" s="11">
        <v>3820</v>
      </c>
      <c r="BJ699" s="11">
        <v>1</v>
      </c>
      <c r="BK699" s="11">
        <v>36.799999999999997</v>
      </c>
      <c r="BL699" s="18">
        <v>94.7</v>
      </c>
    </row>
    <row r="700" spans="35:64" x14ac:dyDescent="0.3">
      <c r="AI700" s="763" t="s">
        <v>1355</v>
      </c>
      <c r="AJ700" s="764">
        <v>3590</v>
      </c>
      <c r="AK700" s="765">
        <v>131</v>
      </c>
      <c r="AL700" s="765">
        <v>6.9</v>
      </c>
      <c r="AM700" s="765">
        <v>128</v>
      </c>
      <c r="AN700" s="765">
        <v>10.9</v>
      </c>
      <c r="AO700" s="773" t="s">
        <v>1356</v>
      </c>
      <c r="AP700" s="773">
        <v>19</v>
      </c>
      <c r="AQ700" s="772">
        <v>13</v>
      </c>
      <c r="AR700" s="774">
        <v>6</v>
      </c>
      <c r="AS700" s="766">
        <v>8.5</v>
      </c>
      <c r="AT700" s="768">
        <v>13</v>
      </c>
      <c r="AU700" s="767">
        <v>10.199999999999999</v>
      </c>
      <c r="AV700" s="768">
        <v>32.1</v>
      </c>
      <c r="AW700" s="765">
        <v>6.13</v>
      </c>
      <c r="AX700" s="765">
        <v>82.8</v>
      </c>
      <c r="AY700" s="765">
        <v>63.3</v>
      </c>
      <c r="AZ700" s="765">
        <v>136</v>
      </c>
      <c r="BA700" s="765">
        <v>1.26</v>
      </c>
      <c r="BB700" s="765">
        <v>24.7</v>
      </c>
      <c r="BC700" s="765">
        <v>23.5</v>
      </c>
      <c r="BD700" s="765">
        <v>38.299999999999997</v>
      </c>
      <c r="BE700" s="773">
        <v>0.15560398460709959</v>
      </c>
      <c r="BF700" s="768">
        <v>145.9</v>
      </c>
      <c r="BG700" s="765">
        <v>37.4</v>
      </c>
      <c r="BH700" s="765">
        <v>6.7</v>
      </c>
      <c r="BI700" s="765">
        <v>3720</v>
      </c>
      <c r="BJ700" s="765">
        <v>0.67400000000000004</v>
      </c>
      <c r="BK700" s="765">
        <v>24.9</v>
      </c>
      <c r="BL700" s="771">
        <v>66.8</v>
      </c>
    </row>
    <row r="701" spans="35:64" x14ac:dyDescent="0.3">
      <c r="AI701" s="763" t="s">
        <v>1357</v>
      </c>
      <c r="AJ701" s="764">
        <v>3020</v>
      </c>
      <c r="AK701" s="765">
        <v>127</v>
      </c>
      <c r="AL701" s="765">
        <v>6.1</v>
      </c>
      <c r="AM701" s="765">
        <v>127</v>
      </c>
      <c r="AN701" s="765">
        <v>9.1</v>
      </c>
      <c r="AO701" s="773" t="s">
        <v>1358</v>
      </c>
      <c r="AP701" s="773">
        <v>17</v>
      </c>
      <c r="AQ701" s="772">
        <v>12</v>
      </c>
      <c r="AR701" s="774">
        <v>6</v>
      </c>
      <c r="AS701" s="766">
        <v>19</v>
      </c>
      <c r="AT701" s="768">
        <v>28</v>
      </c>
      <c r="AU701" s="767">
        <v>5.87</v>
      </c>
      <c r="AV701" s="768">
        <v>15.8</v>
      </c>
      <c r="AW701" s="765">
        <v>11</v>
      </c>
      <c r="AX701" s="765">
        <v>168</v>
      </c>
      <c r="AY701" s="765">
        <v>63</v>
      </c>
      <c r="AZ701" s="765">
        <v>103</v>
      </c>
      <c r="BA701" s="765">
        <v>0.91800000000000004</v>
      </c>
      <c r="BB701" s="765">
        <v>18.399999999999999</v>
      </c>
      <c r="BC701" s="765">
        <v>23</v>
      </c>
      <c r="BD701" s="765">
        <v>28.3</v>
      </c>
      <c r="BE701" s="773">
        <v>0.15130274659093829</v>
      </c>
      <c r="BF701" s="768">
        <v>144.5</v>
      </c>
      <c r="BG701" s="765">
        <v>17.100000000000001</v>
      </c>
      <c r="BH701" s="765">
        <v>4.79</v>
      </c>
      <c r="BI701" s="765">
        <v>3610</v>
      </c>
      <c r="BJ701" s="765">
        <v>0.497</v>
      </c>
      <c r="BK701" s="765">
        <v>19</v>
      </c>
      <c r="BL701" s="771">
        <v>50.1</v>
      </c>
    </row>
    <row r="702" spans="35:64" x14ac:dyDescent="0.3">
      <c r="AI702" s="785" t="s">
        <v>1359</v>
      </c>
      <c r="AJ702" s="786">
        <v>2480</v>
      </c>
      <c r="AK702" s="787">
        <v>106</v>
      </c>
      <c r="AL702" s="787">
        <v>7.1</v>
      </c>
      <c r="AM702" s="787">
        <v>103</v>
      </c>
      <c r="AN702" s="787">
        <v>8.8000000000000007</v>
      </c>
      <c r="AO702" s="773" t="s">
        <v>1360</v>
      </c>
      <c r="AP702" s="773">
        <v>16</v>
      </c>
      <c r="AQ702" s="769">
        <v>12</v>
      </c>
      <c r="AR702" s="770">
        <v>6</v>
      </c>
      <c r="AS702" s="766">
        <v>16</v>
      </c>
      <c r="AT702" s="767">
        <v>24</v>
      </c>
      <c r="AU702" s="767">
        <v>6.98</v>
      </c>
      <c r="AV702" s="768">
        <v>17.8</v>
      </c>
      <c r="AW702" s="765">
        <v>8.84</v>
      </c>
      <c r="AX702" s="765">
        <v>139</v>
      </c>
      <c r="AY702" s="765">
        <v>61.7</v>
      </c>
      <c r="AZ702" s="765">
        <v>93</v>
      </c>
      <c r="BA702" s="765">
        <v>0.81799999999999995</v>
      </c>
      <c r="BB702" s="765">
        <v>16.399999999999999</v>
      </c>
      <c r="BC702" s="765">
        <v>22.5</v>
      </c>
      <c r="BD702" s="765">
        <v>25.3</v>
      </c>
      <c r="BE702" s="773">
        <v>0.1495294249953695</v>
      </c>
      <c r="BF702" s="768">
        <v>143.1</v>
      </c>
      <c r="BG702" s="765">
        <v>13.6</v>
      </c>
      <c r="BH702" s="765">
        <v>4.1900000000000004</v>
      </c>
      <c r="BI702" s="765">
        <v>3580</v>
      </c>
      <c r="BJ702" s="765">
        <v>0.438</v>
      </c>
      <c r="BK702" s="765">
        <v>16.8</v>
      </c>
      <c r="BL702" s="771">
        <v>45.3</v>
      </c>
    </row>
    <row r="703" spans="35:64" x14ac:dyDescent="0.3">
      <c r="AI703" s="9" t="s">
        <v>1361</v>
      </c>
      <c r="AJ703" s="10">
        <v>22900</v>
      </c>
      <c r="AK703" s="11">
        <v>622</v>
      </c>
      <c r="AL703" s="11">
        <v>20.3</v>
      </c>
      <c r="AM703" s="11">
        <v>204</v>
      </c>
      <c r="AN703" s="11">
        <v>27.7</v>
      </c>
      <c r="AO703" s="773" t="s">
        <v>1362</v>
      </c>
      <c r="AP703" s="773">
        <v>20</v>
      </c>
      <c r="AQ703" s="769">
        <v>11</v>
      </c>
      <c r="AR703" s="769">
        <v>5</v>
      </c>
      <c r="AS703" s="788">
        <v>13</v>
      </c>
      <c r="AT703" s="789">
        <v>19</v>
      </c>
      <c r="AU703" s="789">
        <v>5.85</v>
      </c>
      <c r="AV703" s="790">
        <v>12.5</v>
      </c>
      <c r="AW703" s="787">
        <v>4.7699999999999996</v>
      </c>
      <c r="AX703" s="787">
        <v>89.9</v>
      </c>
      <c r="AY703" s="765">
        <v>55.3</v>
      </c>
      <c r="AZ703" s="765">
        <v>191</v>
      </c>
      <c r="BA703" s="765">
        <v>3.81</v>
      </c>
      <c r="BB703" s="765">
        <v>59.6</v>
      </c>
      <c r="BC703" s="765">
        <v>32.6</v>
      </c>
      <c r="BD703" s="765">
        <v>90.8</v>
      </c>
      <c r="BE703" s="773">
        <v>0.20775255552154151</v>
      </c>
      <c r="BF703" s="768">
        <v>120.1</v>
      </c>
      <c r="BG703" s="765">
        <v>131</v>
      </c>
      <c r="BH703" s="765">
        <v>13.8</v>
      </c>
      <c r="BI703" s="765">
        <v>3840</v>
      </c>
      <c r="BJ703" s="765">
        <v>1.34</v>
      </c>
      <c r="BK703" s="765">
        <v>39.6</v>
      </c>
      <c r="BL703" s="771">
        <v>94.1</v>
      </c>
    </row>
    <row r="704" spans="35:64" x14ac:dyDescent="0.3">
      <c r="AI704" s="763" t="s">
        <v>1363</v>
      </c>
      <c r="AJ704" s="764">
        <v>20100</v>
      </c>
      <c r="AK704" s="765">
        <v>622</v>
      </c>
      <c r="AL704" s="765">
        <v>15.7</v>
      </c>
      <c r="AM704" s="765">
        <v>200</v>
      </c>
      <c r="AN704" s="765">
        <v>27.7</v>
      </c>
      <c r="AO704" s="773" t="s">
        <v>1364</v>
      </c>
      <c r="AP704" s="773">
        <v>18</v>
      </c>
      <c r="AQ704" s="769">
        <v>11</v>
      </c>
      <c r="AR704" s="770">
        <v>5</v>
      </c>
      <c r="AS704" s="15">
        <v>121</v>
      </c>
      <c r="AT704" s="17">
        <v>180</v>
      </c>
      <c r="AU704" s="17">
        <v>3.68</v>
      </c>
      <c r="AV704" s="16">
        <v>27.9</v>
      </c>
      <c r="AW704" s="11">
        <v>1310</v>
      </c>
      <c r="AX704" s="11">
        <v>4220</v>
      </c>
      <c r="AY704" s="765">
        <v>54.1</v>
      </c>
      <c r="AZ704" s="765">
        <v>157</v>
      </c>
      <c r="BA704" s="765">
        <v>3.11</v>
      </c>
      <c r="BB704" s="765">
        <v>49</v>
      </c>
      <c r="BC704" s="765">
        <v>32.1</v>
      </c>
      <c r="BD704" s="765">
        <v>74.599999999999994</v>
      </c>
      <c r="BE704" s="773">
        <v>0.20419195912304941</v>
      </c>
      <c r="BF704" s="767">
        <v>117.9</v>
      </c>
      <c r="BG704" s="765">
        <v>79.099999999999994</v>
      </c>
      <c r="BH704" s="765">
        <v>10.8</v>
      </c>
      <c r="BI704" s="765">
        <v>3740</v>
      </c>
      <c r="BJ704" s="765">
        <v>1.08</v>
      </c>
      <c r="BK704" s="765">
        <v>32.4</v>
      </c>
      <c r="BL704" s="771">
        <v>77.2</v>
      </c>
    </row>
    <row r="705" spans="35:64" x14ac:dyDescent="0.3">
      <c r="AI705" s="763" t="s">
        <v>1365</v>
      </c>
      <c r="AJ705" s="764">
        <v>19000</v>
      </c>
      <c r="AK705" s="765">
        <v>610</v>
      </c>
      <c r="AL705" s="765">
        <v>18.899999999999999</v>
      </c>
      <c r="AM705" s="765">
        <v>184</v>
      </c>
      <c r="AN705" s="765">
        <v>22.1</v>
      </c>
      <c r="AO705" s="791" t="s">
        <v>1366</v>
      </c>
      <c r="AP705" s="791">
        <v>18</v>
      </c>
      <c r="AQ705" s="792">
        <v>12</v>
      </c>
      <c r="AR705" s="793">
        <v>4</v>
      </c>
      <c r="AS705" s="766">
        <v>106</v>
      </c>
      <c r="AT705" s="767">
        <v>158</v>
      </c>
      <c r="AU705" s="767">
        <v>3.61</v>
      </c>
      <c r="AV705" s="768">
        <v>36.1</v>
      </c>
      <c r="AW705" s="765">
        <v>1220</v>
      </c>
      <c r="AX705" s="765">
        <v>3940</v>
      </c>
      <c r="AY705" s="787">
        <v>43.9</v>
      </c>
      <c r="AZ705" s="787">
        <v>103</v>
      </c>
      <c r="BA705" s="787">
        <v>1.61</v>
      </c>
      <c r="BB705" s="787">
        <v>31.2</v>
      </c>
      <c r="BC705" s="787">
        <v>25.5</v>
      </c>
      <c r="BD705" s="787">
        <v>48</v>
      </c>
      <c r="BE705" s="791">
        <v>0.16576255250732061</v>
      </c>
      <c r="BF705" s="789">
        <v>97.2</v>
      </c>
      <c r="BG705" s="787">
        <v>63.6</v>
      </c>
      <c r="BH705" s="787">
        <v>3.79</v>
      </c>
      <c r="BI705" s="787">
        <v>2500</v>
      </c>
      <c r="BJ705" s="787">
        <v>0.56699999999999995</v>
      </c>
      <c r="BK705" s="787">
        <v>20.5</v>
      </c>
      <c r="BL705" s="794">
        <v>51</v>
      </c>
    </row>
    <row r="706" spans="35:64" x14ac:dyDescent="0.3">
      <c r="AI706" s="763" t="s">
        <v>1367</v>
      </c>
      <c r="AJ706" s="764">
        <v>17100</v>
      </c>
      <c r="AK706" s="765">
        <v>610</v>
      </c>
      <c r="AL706" s="765">
        <v>15.9</v>
      </c>
      <c r="AM706" s="765">
        <v>181</v>
      </c>
      <c r="AN706" s="765">
        <v>22.1</v>
      </c>
      <c r="AO706" s="11" t="s">
        <v>1368</v>
      </c>
      <c r="AP706" s="11">
        <v>50</v>
      </c>
      <c r="AQ706" s="13">
        <v>25</v>
      </c>
      <c r="AR706" s="14">
        <v>24</v>
      </c>
      <c r="AS706" s="766">
        <v>100</v>
      </c>
      <c r="AT706" s="767">
        <v>149</v>
      </c>
      <c r="AU706" s="767">
        <v>4.16</v>
      </c>
      <c r="AV706" s="768">
        <v>29.9</v>
      </c>
      <c r="AW706" s="765">
        <v>997</v>
      </c>
      <c r="AX706" s="765">
        <v>3270</v>
      </c>
      <c r="AY706" s="11">
        <v>239</v>
      </c>
      <c r="AZ706" s="11">
        <v>5020</v>
      </c>
      <c r="BA706" s="11">
        <v>33.9</v>
      </c>
      <c r="BB706" s="11">
        <v>332</v>
      </c>
      <c r="BC706" s="11">
        <v>38.5</v>
      </c>
      <c r="BD706" s="11">
        <v>592</v>
      </c>
      <c r="BE706" s="12">
        <v>0.27467016990263049</v>
      </c>
      <c r="BF706" s="17">
        <v>594.29999999999995</v>
      </c>
      <c r="BG706" s="11">
        <v>5330</v>
      </c>
      <c r="BH706" s="11">
        <v>2990</v>
      </c>
      <c r="BI706" s="11"/>
      <c r="BJ706" s="11"/>
      <c r="BK706" s="11"/>
      <c r="BL706" s="18"/>
    </row>
    <row r="707" spans="35:64" x14ac:dyDescent="0.3">
      <c r="AI707" s="763" t="s">
        <v>1369</v>
      </c>
      <c r="AJ707" s="764">
        <v>15200</v>
      </c>
      <c r="AK707" s="765">
        <v>610</v>
      </c>
      <c r="AL707" s="765">
        <v>12.7</v>
      </c>
      <c r="AM707" s="765">
        <v>178</v>
      </c>
      <c r="AN707" s="765">
        <v>22.1</v>
      </c>
      <c r="AO707" s="765" t="s">
        <v>1370</v>
      </c>
      <c r="AP707" s="765">
        <v>50</v>
      </c>
      <c r="AQ707" s="769">
        <v>23</v>
      </c>
      <c r="AR707" s="770">
        <v>24</v>
      </c>
      <c r="AS707" s="766">
        <v>90</v>
      </c>
      <c r="AT707" s="767">
        <v>134</v>
      </c>
      <c r="AU707" s="767">
        <v>4.0999999999999996</v>
      </c>
      <c r="AV707" s="768">
        <v>35.6</v>
      </c>
      <c r="AW707" s="765">
        <v>940</v>
      </c>
      <c r="AX707" s="765">
        <v>3080</v>
      </c>
      <c r="AY707" s="765">
        <v>247</v>
      </c>
      <c r="AZ707" s="765">
        <v>4580</v>
      </c>
      <c r="BA707" s="765">
        <v>31.6</v>
      </c>
      <c r="BB707" s="765">
        <v>316</v>
      </c>
      <c r="BC707" s="765">
        <v>39.700000000000003</v>
      </c>
      <c r="BD707" s="765">
        <v>545</v>
      </c>
      <c r="BE707" s="773">
        <v>0.27452045533236702</v>
      </c>
      <c r="BF707" s="767">
        <v>594.29999999999995</v>
      </c>
      <c r="BG707" s="765">
        <v>4210</v>
      </c>
      <c r="BH707" s="765">
        <v>2790</v>
      </c>
      <c r="BI707" s="765"/>
      <c r="BJ707" s="765"/>
      <c r="BK707" s="765"/>
      <c r="BL707" s="771"/>
    </row>
    <row r="708" spans="35:64" x14ac:dyDescent="0.3">
      <c r="AI708" s="763" t="s">
        <v>1371</v>
      </c>
      <c r="AJ708" s="764">
        <v>18200</v>
      </c>
      <c r="AK708" s="765">
        <v>516</v>
      </c>
      <c r="AL708" s="765">
        <v>20.3</v>
      </c>
      <c r="AM708" s="765">
        <v>183</v>
      </c>
      <c r="AN708" s="765">
        <v>23.4</v>
      </c>
      <c r="AO708" s="765" t="s">
        <v>1372</v>
      </c>
      <c r="AP708" s="765">
        <v>44</v>
      </c>
      <c r="AQ708" s="769">
        <v>25</v>
      </c>
      <c r="AR708" s="770">
        <v>24</v>
      </c>
      <c r="AS708" s="766">
        <v>80</v>
      </c>
      <c r="AT708" s="767">
        <v>119</v>
      </c>
      <c r="AU708" s="767">
        <v>4.03</v>
      </c>
      <c r="AV708" s="768">
        <v>44.6</v>
      </c>
      <c r="AW708" s="765">
        <v>880</v>
      </c>
      <c r="AX708" s="765">
        <v>2890</v>
      </c>
      <c r="AY708" s="765">
        <v>229</v>
      </c>
      <c r="AZ708" s="765">
        <v>3940</v>
      </c>
      <c r="BA708" s="765">
        <v>19.7</v>
      </c>
      <c r="BB708" s="765">
        <v>214</v>
      </c>
      <c r="BC708" s="765">
        <v>32.200000000000003</v>
      </c>
      <c r="BD708" s="765">
        <v>393</v>
      </c>
      <c r="BE708" s="773">
        <v>0.23656740750490229</v>
      </c>
      <c r="BF708" s="767">
        <v>587.9</v>
      </c>
      <c r="BG708" s="765">
        <v>3160</v>
      </c>
      <c r="BH708" s="765">
        <v>1700</v>
      </c>
      <c r="BI708" s="765"/>
      <c r="BJ708" s="765"/>
      <c r="BK708" s="765"/>
      <c r="BL708" s="771"/>
    </row>
    <row r="709" spans="35:64" x14ac:dyDescent="0.3">
      <c r="AI709" s="763" t="s">
        <v>1373</v>
      </c>
      <c r="AJ709" s="764">
        <v>16400</v>
      </c>
      <c r="AK709" s="765">
        <v>516</v>
      </c>
      <c r="AL709" s="765">
        <v>16.8</v>
      </c>
      <c r="AM709" s="765">
        <v>179</v>
      </c>
      <c r="AN709" s="765">
        <v>23.4</v>
      </c>
      <c r="AO709" s="765" t="s">
        <v>1374</v>
      </c>
      <c r="AP709" s="765">
        <v>44</v>
      </c>
      <c r="AQ709" s="769">
        <v>24</v>
      </c>
      <c r="AR709" s="770">
        <v>24</v>
      </c>
      <c r="AS709" s="766">
        <v>96</v>
      </c>
      <c r="AT709" s="768">
        <v>143</v>
      </c>
      <c r="AU709" s="767">
        <v>3.91</v>
      </c>
      <c r="AV709" s="768">
        <v>23.1</v>
      </c>
      <c r="AW709" s="765">
        <v>700</v>
      </c>
      <c r="AX709" s="765">
        <v>2710</v>
      </c>
      <c r="AY709" s="765">
        <v>234</v>
      </c>
      <c r="AZ709" s="765">
        <v>3660</v>
      </c>
      <c r="BA709" s="765">
        <v>18.600000000000001</v>
      </c>
      <c r="BB709" s="765">
        <v>205</v>
      </c>
      <c r="BC709" s="765">
        <v>32.9</v>
      </c>
      <c r="BD709" s="765">
        <v>367</v>
      </c>
      <c r="BE709" s="773">
        <v>0.23666436671989599</v>
      </c>
      <c r="BF709" s="767">
        <v>587.9</v>
      </c>
      <c r="BG709" s="765">
        <v>2530</v>
      </c>
      <c r="BH709" s="765">
        <v>1600</v>
      </c>
      <c r="BI709" s="765"/>
      <c r="BJ709" s="765"/>
      <c r="BK709" s="765"/>
      <c r="BL709" s="771"/>
    </row>
    <row r="710" spans="35:64" x14ac:dyDescent="0.3">
      <c r="AI710" s="763" t="s">
        <v>1375</v>
      </c>
      <c r="AJ710" s="764">
        <v>14200</v>
      </c>
      <c r="AK710" s="765">
        <v>508</v>
      </c>
      <c r="AL710" s="765">
        <v>16.100000000000001</v>
      </c>
      <c r="AM710" s="765">
        <v>162</v>
      </c>
      <c r="AN710" s="765">
        <v>20.2</v>
      </c>
      <c r="AO710" s="765" t="s">
        <v>1376</v>
      </c>
      <c r="AP710" s="765">
        <v>44</v>
      </c>
      <c r="AQ710" s="769">
        <v>22</v>
      </c>
      <c r="AR710" s="770">
        <v>24</v>
      </c>
      <c r="AS710" s="766">
        <v>86</v>
      </c>
      <c r="AT710" s="767">
        <v>128</v>
      </c>
      <c r="AU710" s="768">
        <v>3.82</v>
      </c>
      <c r="AV710" s="768">
        <v>27.9</v>
      </c>
      <c r="AW710" s="765">
        <v>658</v>
      </c>
      <c r="AX710" s="765">
        <v>2550</v>
      </c>
      <c r="AY710" s="765">
        <v>241</v>
      </c>
      <c r="AZ710" s="765">
        <v>3360</v>
      </c>
      <c r="BA710" s="765">
        <v>17.5</v>
      </c>
      <c r="BB710" s="765">
        <v>197</v>
      </c>
      <c r="BC710" s="765">
        <v>34</v>
      </c>
      <c r="BD710" s="765">
        <v>342</v>
      </c>
      <c r="BE710" s="773">
        <v>0.23716730992323631</v>
      </c>
      <c r="BF710" s="767">
        <v>587.9</v>
      </c>
      <c r="BG710" s="765">
        <v>2040</v>
      </c>
      <c r="BH710" s="765">
        <v>1510</v>
      </c>
      <c r="BI710" s="765"/>
      <c r="BJ710" s="765"/>
      <c r="BK710" s="765"/>
      <c r="BL710" s="771"/>
    </row>
    <row r="711" spans="35:64" x14ac:dyDescent="0.3">
      <c r="AI711" s="763" t="s">
        <v>1377</v>
      </c>
      <c r="AJ711" s="764">
        <v>12500</v>
      </c>
      <c r="AK711" s="765">
        <v>508</v>
      </c>
      <c r="AL711" s="765">
        <v>12.8</v>
      </c>
      <c r="AM711" s="765">
        <v>159</v>
      </c>
      <c r="AN711" s="765">
        <v>20.2</v>
      </c>
      <c r="AO711" s="765" t="s">
        <v>1378</v>
      </c>
      <c r="AP711" s="765">
        <v>45</v>
      </c>
      <c r="AQ711" s="769">
        <v>26</v>
      </c>
      <c r="AR711" s="770">
        <v>20</v>
      </c>
      <c r="AS711" s="766">
        <v>75</v>
      </c>
      <c r="AT711" s="767">
        <v>112</v>
      </c>
      <c r="AU711" s="767">
        <v>4.01</v>
      </c>
      <c r="AV711" s="768">
        <v>29</v>
      </c>
      <c r="AW711" s="765">
        <v>532</v>
      </c>
      <c r="AX711" s="765">
        <v>2090</v>
      </c>
      <c r="AY711" s="765">
        <v>196</v>
      </c>
      <c r="AZ711" s="765">
        <v>3250</v>
      </c>
      <c r="BA711" s="765">
        <v>20.7</v>
      </c>
      <c r="BB711" s="765">
        <v>226</v>
      </c>
      <c r="BC711" s="765">
        <v>33.700000000000003</v>
      </c>
      <c r="BD711" s="765">
        <v>410</v>
      </c>
      <c r="BE711" s="767">
        <v>0.24411843505500311</v>
      </c>
      <c r="BF711" s="767">
        <v>492.6</v>
      </c>
      <c r="BG711" s="765">
        <v>3500</v>
      </c>
      <c r="BH711" s="765">
        <v>1260</v>
      </c>
      <c r="BI711" s="765"/>
      <c r="BJ711" s="765"/>
      <c r="BK711" s="765"/>
      <c r="BL711" s="771"/>
    </row>
    <row r="712" spans="35:64" x14ac:dyDescent="0.3">
      <c r="AI712" s="763" t="s">
        <v>1379</v>
      </c>
      <c r="AJ712" s="764">
        <v>13300</v>
      </c>
      <c r="AK712" s="765">
        <v>457</v>
      </c>
      <c r="AL712" s="765">
        <v>18.100000000000001</v>
      </c>
      <c r="AM712" s="765">
        <v>159</v>
      </c>
      <c r="AN712" s="765">
        <v>17.600000000000001</v>
      </c>
      <c r="AO712" s="765" t="s">
        <v>1380</v>
      </c>
      <c r="AP712" s="765">
        <v>45</v>
      </c>
      <c r="AQ712" s="769">
        <v>24</v>
      </c>
      <c r="AR712" s="770">
        <v>20</v>
      </c>
      <c r="AS712" s="766">
        <v>66</v>
      </c>
      <c r="AT712" s="767">
        <v>98.2</v>
      </c>
      <c r="AU712" s="767">
        <v>3.94</v>
      </c>
      <c r="AV712" s="768">
        <v>36.5</v>
      </c>
      <c r="AW712" s="765">
        <v>497</v>
      </c>
      <c r="AX712" s="765">
        <v>1960</v>
      </c>
      <c r="AY712" s="765">
        <v>200</v>
      </c>
      <c r="AZ712" s="765">
        <v>3010</v>
      </c>
      <c r="BA712" s="765">
        <v>19.2</v>
      </c>
      <c r="BB712" s="765">
        <v>214</v>
      </c>
      <c r="BC712" s="765">
        <v>34.200000000000003</v>
      </c>
      <c r="BD712" s="765">
        <v>378</v>
      </c>
      <c r="BE712" s="767">
        <v>0.24191885274508571</v>
      </c>
      <c r="BF712" s="767">
        <v>492.6</v>
      </c>
      <c r="BG712" s="765">
        <v>2780</v>
      </c>
      <c r="BH712" s="765">
        <v>1160</v>
      </c>
      <c r="BI712" s="765"/>
      <c r="BJ712" s="765"/>
      <c r="BK712" s="765"/>
      <c r="BL712" s="771"/>
    </row>
    <row r="713" spans="35:64" x14ac:dyDescent="0.3">
      <c r="AI713" s="775" t="s">
        <v>1381</v>
      </c>
      <c r="AJ713" s="776">
        <v>10400</v>
      </c>
      <c r="AK713" s="777">
        <v>457</v>
      </c>
      <c r="AL713" s="777">
        <v>11.7</v>
      </c>
      <c r="AM713" s="777">
        <v>152</v>
      </c>
      <c r="AN713" s="777">
        <v>17.600000000000001</v>
      </c>
      <c r="AO713" s="765" t="s">
        <v>1382</v>
      </c>
      <c r="AP713" s="765">
        <v>41</v>
      </c>
      <c r="AQ713" s="769">
        <v>23</v>
      </c>
      <c r="AR713" s="770">
        <v>20</v>
      </c>
      <c r="AS713" s="766">
        <v>70</v>
      </c>
      <c r="AT713" s="767">
        <v>104</v>
      </c>
      <c r="AU713" s="767">
        <v>4.5199999999999996</v>
      </c>
      <c r="AV713" s="768">
        <v>23.3</v>
      </c>
      <c r="AW713" s="765">
        <v>387</v>
      </c>
      <c r="AX713" s="765">
        <v>1690</v>
      </c>
      <c r="AY713" s="765">
        <v>194</v>
      </c>
      <c r="AZ713" s="765">
        <v>2500</v>
      </c>
      <c r="BA713" s="765">
        <v>12.3</v>
      </c>
      <c r="BB713" s="765">
        <v>152</v>
      </c>
      <c r="BC713" s="765">
        <v>29.4</v>
      </c>
      <c r="BD713" s="765">
        <v>274</v>
      </c>
      <c r="BE713" s="773">
        <v>0.2130014103469626</v>
      </c>
      <c r="BF713" s="767">
        <v>487.8</v>
      </c>
      <c r="BG713" s="765">
        <v>1910</v>
      </c>
      <c r="BH713" s="765">
        <v>731</v>
      </c>
      <c r="BI713" s="765"/>
      <c r="BJ713" s="765"/>
      <c r="BK713" s="765"/>
      <c r="BL713" s="771"/>
    </row>
    <row r="714" spans="35:64" x14ac:dyDescent="0.3">
      <c r="AI714" s="9" t="s">
        <v>1383</v>
      </c>
      <c r="AJ714" s="10">
        <v>9500</v>
      </c>
      <c r="AK714" s="11">
        <v>381</v>
      </c>
      <c r="AL714" s="11">
        <v>14</v>
      </c>
      <c r="AM714" s="11">
        <v>143</v>
      </c>
      <c r="AN714" s="11">
        <v>15.8</v>
      </c>
      <c r="AO714" s="765" t="s">
        <v>1384</v>
      </c>
      <c r="AP714" s="765">
        <v>41</v>
      </c>
      <c r="AQ714" s="769">
        <v>22</v>
      </c>
      <c r="AR714" s="769">
        <v>20</v>
      </c>
      <c r="AS714" s="778">
        <v>54.7</v>
      </c>
      <c r="AT714" s="780">
        <v>81.400000000000006</v>
      </c>
      <c r="AU714" s="780">
        <v>4.32</v>
      </c>
      <c r="AV714" s="779">
        <v>36.1</v>
      </c>
      <c r="AW714" s="777">
        <v>335</v>
      </c>
      <c r="AX714" s="777">
        <v>1470</v>
      </c>
      <c r="AY714" s="765">
        <v>199</v>
      </c>
      <c r="AZ714" s="765">
        <v>2290</v>
      </c>
      <c r="BA714" s="765">
        <v>11.5</v>
      </c>
      <c r="BB714" s="765">
        <v>145</v>
      </c>
      <c r="BC714" s="765">
        <v>30.3</v>
      </c>
      <c r="BD714" s="765">
        <v>253</v>
      </c>
      <c r="BE714" s="773">
        <v>0.21272104109316181</v>
      </c>
      <c r="BF714" s="767">
        <v>487.8</v>
      </c>
      <c r="BG714" s="765">
        <v>1490</v>
      </c>
      <c r="BH714" s="765">
        <v>684</v>
      </c>
      <c r="BI714" s="765"/>
      <c r="BJ714" s="765"/>
      <c r="BK714" s="765"/>
      <c r="BL714" s="771"/>
    </row>
    <row r="715" spans="35:64" x14ac:dyDescent="0.3">
      <c r="AI715" s="763" t="s">
        <v>1385</v>
      </c>
      <c r="AJ715" s="764">
        <v>8150</v>
      </c>
      <c r="AK715" s="765">
        <v>381</v>
      </c>
      <c r="AL715" s="765">
        <v>10.4</v>
      </c>
      <c r="AM715" s="765">
        <v>140</v>
      </c>
      <c r="AN715" s="765">
        <v>15.8</v>
      </c>
      <c r="AO715" s="765" t="s">
        <v>1386</v>
      </c>
      <c r="AP715" s="765">
        <v>37</v>
      </c>
      <c r="AQ715" s="769">
        <v>23</v>
      </c>
      <c r="AR715" s="769">
        <v>18</v>
      </c>
      <c r="AS715" s="15">
        <v>50</v>
      </c>
      <c r="AT715" s="11">
        <v>74</v>
      </c>
      <c r="AU715" s="17">
        <v>4.53</v>
      </c>
      <c r="AV715" s="16">
        <v>25</v>
      </c>
      <c r="AW715" s="11">
        <v>203</v>
      </c>
      <c r="AX715" s="11">
        <v>1060</v>
      </c>
      <c r="AY715" s="765">
        <v>170</v>
      </c>
      <c r="AZ715" s="765">
        <v>2050</v>
      </c>
      <c r="BA715" s="765">
        <v>10.1</v>
      </c>
      <c r="BB715" s="765">
        <v>127</v>
      </c>
      <c r="BC715" s="765">
        <v>27.5</v>
      </c>
      <c r="BD715" s="765">
        <v>238</v>
      </c>
      <c r="BE715" s="773">
        <v>0.2037132284067017</v>
      </c>
      <c r="BF715" s="767">
        <v>439.4</v>
      </c>
      <c r="BG715" s="765">
        <v>1740</v>
      </c>
      <c r="BH715" s="765">
        <v>487</v>
      </c>
      <c r="BI715" s="765"/>
      <c r="BJ715" s="765"/>
      <c r="BK715" s="765"/>
      <c r="BL715" s="771"/>
    </row>
    <row r="716" spans="35:64" x14ac:dyDescent="0.3">
      <c r="AI716" s="763" t="s">
        <v>1387</v>
      </c>
      <c r="AJ716" s="764">
        <v>9470</v>
      </c>
      <c r="AK716" s="765">
        <v>305</v>
      </c>
      <c r="AL716" s="765">
        <v>17.399999999999999</v>
      </c>
      <c r="AM716" s="765">
        <v>139</v>
      </c>
      <c r="AN716" s="765">
        <v>16.7</v>
      </c>
      <c r="AO716" s="777" t="s">
        <v>1388</v>
      </c>
      <c r="AP716" s="777">
        <v>37</v>
      </c>
      <c r="AQ716" s="782">
        <v>20</v>
      </c>
      <c r="AR716" s="782">
        <v>18</v>
      </c>
      <c r="AS716" s="766">
        <v>42.9</v>
      </c>
      <c r="AT716" s="765">
        <v>64</v>
      </c>
      <c r="AU716" s="767">
        <v>4.43</v>
      </c>
      <c r="AV716" s="768">
        <v>33.6</v>
      </c>
      <c r="AW716" s="765">
        <v>187</v>
      </c>
      <c r="AX716" s="765">
        <v>980</v>
      </c>
      <c r="AY716" s="777">
        <v>180</v>
      </c>
      <c r="AZ716" s="777">
        <v>1710</v>
      </c>
      <c r="BA716" s="777">
        <v>8.6199999999999992</v>
      </c>
      <c r="BB716" s="777">
        <v>113</v>
      </c>
      <c r="BC716" s="777">
        <v>28.8</v>
      </c>
      <c r="BD716" s="777">
        <v>199</v>
      </c>
      <c r="BE716" s="781">
        <v>0.20183267757889259</v>
      </c>
      <c r="BF716" s="780">
        <v>439.4</v>
      </c>
      <c r="BG716" s="777">
        <v>983</v>
      </c>
      <c r="BH716" s="777">
        <v>416</v>
      </c>
      <c r="BI716" s="777"/>
      <c r="BJ716" s="777"/>
      <c r="BK716" s="777"/>
      <c r="BL716" s="784"/>
    </row>
    <row r="717" spans="35:64" x14ac:dyDescent="0.3">
      <c r="AI717" s="763" t="s">
        <v>1389</v>
      </c>
      <c r="AJ717" s="764">
        <v>7720</v>
      </c>
      <c r="AK717" s="765">
        <v>305</v>
      </c>
      <c r="AL717" s="765">
        <v>11.7</v>
      </c>
      <c r="AM717" s="765">
        <v>133</v>
      </c>
      <c r="AN717" s="765">
        <v>16.7</v>
      </c>
      <c r="AO717" s="11" t="s">
        <v>1390</v>
      </c>
      <c r="AP717" s="11">
        <v>34</v>
      </c>
      <c r="AQ717" s="13">
        <v>20</v>
      </c>
      <c r="AR717" s="14">
        <v>15</v>
      </c>
      <c r="AS717" s="766">
        <v>50</v>
      </c>
      <c r="AT717" s="765">
        <v>74</v>
      </c>
      <c r="AU717" s="767">
        <v>4.16</v>
      </c>
      <c r="AV717" s="768">
        <v>15.6</v>
      </c>
      <c r="AW717" s="765">
        <v>127</v>
      </c>
      <c r="AX717" s="765">
        <v>833</v>
      </c>
      <c r="AY717" s="11">
        <v>146</v>
      </c>
      <c r="AZ717" s="11">
        <v>1270</v>
      </c>
      <c r="BA717" s="11">
        <v>6.49</v>
      </c>
      <c r="BB717" s="11">
        <v>90.8</v>
      </c>
      <c r="BC717" s="11">
        <v>26.1</v>
      </c>
      <c r="BD717" s="11">
        <v>164</v>
      </c>
      <c r="BE717" s="17">
        <v>0.18815821094238211</v>
      </c>
      <c r="BF717" s="16">
        <v>365.2</v>
      </c>
      <c r="BG717" s="11">
        <v>884</v>
      </c>
      <c r="BH717" s="11">
        <v>217</v>
      </c>
      <c r="BI717" s="11"/>
      <c r="BJ717" s="11"/>
      <c r="BK717" s="11"/>
      <c r="BL717" s="18"/>
    </row>
    <row r="718" spans="35:64" x14ac:dyDescent="0.3">
      <c r="AI718" s="763" t="s">
        <v>1391</v>
      </c>
      <c r="AJ718" s="764">
        <v>6660</v>
      </c>
      <c r="AK718" s="765">
        <v>305</v>
      </c>
      <c r="AL718" s="765">
        <v>10.9</v>
      </c>
      <c r="AM718" s="765">
        <v>129</v>
      </c>
      <c r="AN718" s="765">
        <v>13.8</v>
      </c>
      <c r="AO718" s="765" t="s">
        <v>1392</v>
      </c>
      <c r="AP718" s="765">
        <v>34</v>
      </c>
      <c r="AQ718" s="769">
        <v>18</v>
      </c>
      <c r="AR718" s="770">
        <v>15</v>
      </c>
      <c r="AS718" s="766">
        <v>40.799999999999997</v>
      </c>
      <c r="AT718" s="768">
        <v>60.7</v>
      </c>
      <c r="AU718" s="767">
        <v>3.98</v>
      </c>
      <c r="AV718" s="768">
        <v>23.2</v>
      </c>
      <c r="AW718" s="765">
        <v>113</v>
      </c>
      <c r="AX718" s="765">
        <v>744</v>
      </c>
      <c r="AY718" s="765">
        <v>151</v>
      </c>
      <c r="AZ718" s="765">
        <v>1140</v>
      </c>
      <c r="BA718" s="765">
        <v>6.01</v>
      </c>
      <c r="BB718" s="765">
        <v>85.9</v>
      </c>
      <c r="BC718" s="765">
        <v>27.2</v>
      </c>
      <c r="BD718" s="765">
        <v>149</v>
      </c>
      <c r="BE718" s="767">
        <v>0.18808886210425349</v>
      </c>
      <c r="BF718" s="768">
        <v>365.2</v>
      </c>
      <c r="BG718" s="765">
        <v>641</v>
      </c>
      <c r="BH718" s="765">
        <v>200</v>
      </c>
      <c r="BI718" s="765"/>
      <c r="BJ718" s="765"/>
      <c r="BK718" s="765"/>
      <c r="BL718" s="771"/>
    </row>
    <row r="719" spans="35:64" x14ac:dyDescent="0.3">
      <c r="AI719" s="763" t="s">
        <v>1393</v>
      </c>
      <c r="AJ719" s="764">
        <v>6050</v>
      </c>
      <c r="AK719" s="765">
        <v>305</v>
      </c>
      <c r="AL719" s="765">
        <v>8.9</v>
      </c>
      <c r="AM719" s="765">
        <v>127</v>
      </c>
      <c r="AN719" s="765">
        <v>13.8</v>
      </c>
      <c r="AO719" s="765" t="s">
        <v>1394</v>
      </c>
      <c r="AP719" s="765">
        <v>35</v>
      </c>
      <c r="AQ719" s="769">
        <v>23</v>
      </c>
      <c r="AR719" s="770">
        <v>12</v>
      </c>
      <c r="AS719" s="766">
        <v>35</v>
      </c>
      <c r="AT719" s="768">
        <v>52</v>
      </c>
      <c r="AU719" s="767">
        <v>4.67</v>
      </c>
      <c r="AV719" s="768">
        <v>25.4</v>
      </c>
      <c r="AW719" s="765">
        <v>95.9</v>
      </c>
      <c r="AX719" s="765">
        <v>629</v>
      </c>
      <c r="AY719" s="765">
        <v>116</v>
      </c>
      <c r="AZ719" s="765">
        <v>1000</v>
      </c>
      <c r="BA719" s="765">
        <v>6.48</v>
      </c>
      <c r="BB719" s="765">
        <v>93.3</v>
      </c>
      <c r="BC719" s="765">
        <v>26.2</v>
      </c>
      <c r="BD719" s="765">
        <v>169</v>
      </c>
      <c r="BE719" s="767">
        <v>0.1884320152630258</v>
      </c>
      <c r="BF719" s="768">
        <v>288.3</v>
      </c>
      <c r="BG719" s="765">
        <v>1160</v>
      </c>
      <c r="BH719" s="765">
        <v>135</v>
      </c>
      <c r="BI719" s="765"/>
      <c r="BJ719" s="765"/>
      <c r="BK719" s="765"/>
      <c r="BL719" s="771"/>
    </row>
    <row r="720" spans="35:64" x14ac:dyDescent="0.3">
      <c r="AI720" s="763" t="s">
        <v>1395</v>
      </c>
      <c r="AJ720" s="764">
        <v>6660</v>
      </c>
      <c r="AK720" s="765">
        <v>254</v>
      </c>
      <c r="AL720" s="765">
        <v>15.1</v>
      </c>
      <c r="AM720" s="765">
        <v>126</v>
      </c>
      <c r="AN720" s="765">
        <v>12.5</v>
      </c>
      <c r="AO720" s="765" t="s">
        <v>1396</v>
      </c>
      <c r="AP720" s="765">
        <v>35</v>
      </c>
      <c r="AQ720" s="769">
        <v>20</v>
      </c>
      <c r="AR720" s="770">
        <v>12</v>
      </c>
      <c r="AS720" s="766">
        <v>31.8</v>
      </c>
      <c r="AT720" s="768">
        <v>47</v>
      </c>
      <c r="AU720" s="767">
        <v>4.5999999999999996</v>
      </c>
      <c r="AV720" s="768">
        <v>31.2</v>
      </c>
      <c r="AW720" s="765">
        <v>91.2</v>
      </c>
      <c r="AX720" s="765">
        <v>598</v>
      </c>
      <c r="AY720" s="765">
        <v>121</v>
      </c>
      <c r="AZ720" s="765">
        <v>868</v>
      </c>
      <c r="BA720" s="765">
        <v>5.56</v>
      </c>
      <c r="BB720" s="765">
        <v>83.7</v>
      </c>
      <c r="BC720" s="765">
        <v>26.8</v>
      </c>
      <c r="BD720" s="765">
        <v>145</v>
      </c>
      <c r="BE720" s="767">
        <v>0.184755224171922</v>
      </c>
      <c r="BF720" s="768">
        <v>288.3</v>
      </c>
      <c r="BG720" s="765">
        <v>722</v>
      </c>
      <c r="BH720" s="765">
        <v>116</v>
      </c>
      <c r="BI720" s="765"/>
      <c r="BJ720" s="765"/>
      <c r="BK720" s="765"/>
      <c r="BL720" s="771"/>
    </row>
    <row r="721" spans="35:64" x14ac:dyDescent="0.3">
      <c r="AI721" s="763" t="s">
        <v>1397</v>
      </c>
      <c r="AJ721" s="764">
        <v>4810</v>
      </c>
      <c r="AK721" s="765">
        <v>254</v>
      </c>
      <c r="AL721" s="765">
        <v>7.9</v>
      </c>
      <c r="AM721" s="765">
        <v>118</v>
      </c>
      <c r="AN721" s="765">
        <v>12.5</v>
      </c>
      <c r="AO721" s="765" t="s">
        <v>1398</v>
      </c>
      <c r="AP721" s="765">
        <v>30</v>
      </c>
      <c r="AQ721" s="769">
        <v>17</v>
      </c>
      <c r="AR721" s="770">
        <v>12</v>
      </c>
      <c r="AS721" s="766">
        <v>35</v>
      </c>
      <c r="AT721" s="768">
        <v>52</v>
      </c>
      <c r="AU721" s="767">
        <v>5.04</v>
      </c>
      <c r="AV721" s="768">
        <v>15.2</v>
      </c>
      <c r="AW721" s="765">
        <v>61.5</v>
      </c>
      <c r="AX721" s="765">
        <v>484</v>
      </c>
      <c r="AY721" s="765">
        <v>120</v>
      </c>
      <c r="AZ721" s="765">
        <v>737</v>
      </c>
      <c r="BA721" s="765">
        <v>4.0999999999999996</v>
      </c>
      <c r="BB721" s="765">
        <v>63.5</v>
      </c>
      <c r="BC721" s="765">
        <v>24.8</v>
      </c>
      <c r="BD721" s="765">
        <v>112</v>
      </c>
      <c r="BE721" s="767">
        <v>0.1732309892910264</v>
      </c>
      <c r="BF721" s="768">
        <v>291.2</v>
      </c>
      <c r="BG721" s="765">
        <v>452</v>
      </c>
      <c r="BH721" s="765">
        <v>86.9</v>
      </c>
      <c r="BI721" s="765"/>
      <c r="BJ721" s="765"/>
      <c r="BK721" s="765"/>
      <c r="BL721" s="771"/>
    </row>
    <row r="722" spans="35:64" x14ac:dyDescent="0.3">
      <c r="AI722" s="763" t="s">
        <v>1399</v>
      </c>
      <c r="AJ722" s="764">
        <v>4370</v>
      </c>
      <c r="AK722" s="765">
        <v>203</v>
      </c>
      <c r="AL722" s="765">
        <v>11.2</v>
      </c>
      <c r="AM722" s="765">
        <v>106</v>
      </c>
      <c r="AN722" s="765">
        <v>10.8</v>
      </c>
      <c r="AO722" s="765" t="s">
        <v>1400</v>
      </c>
      <c r="AP722" s="765">
        <v>30</v>
      </c>
      <c r="AQ722" s="769">
        <v>16</v>
      </c>
      <c r="AR722" s="770">
        <v>12</v>
      </c>
      <c r="AS722" s="766">
        <v>25.4</v>
      </c>
      <c r="AT722" s="768">
        <v>38</v>
      </c>
      <c r="AU722" s="767">
        <v>4.72</v>
      </c>
      <c r="AV722" s="768">
        <v>29</v>
      </c>
      <c r="AW722" s="765">
        <v>51.4</v>
      </c>
      <c r="AX722" s="765">
        <v>405</v>
      </c>
      <c r="AY722" s="765">
        <v>123</v>
      </c>
      <c r="AZ722" s="765">
        <v>690</v>
      </c>
      <c r="BA722" s="765">
        <v>3.88</v>
      </c>
      <c r="BB722" s="765">
        <v>61.2</v>
      </c>
      <c r="BC722" s="765">
        <v>25.3</v>
      </c>
      <c r="BD722" s="765">
        <v>105</v>
      </c>
      <c r="BE722" s="767">
        <v>0.17286509063115041</v>
      </c>
      <c r="BF722" s="768">
        <v>291.2</v>
      </c>
      <c r="BG722" s="765">
        <v>376</v>
      </c>
      <c r="BH722" s="765">
        <v>82.3</v>
      </c>
      <c r="BI722" s="765"/>
      <c r="BJ722" s="765"/>
      <c r="BK722" s="765"/>
      <c r="BL722" s="771"/>
    </row>
    <row r="723" spans="35:64" x14ac:dyDescent="0.3">
      <c r="AI723" s="763" t="s">
        <v>1401</v>
      </c>
      <c r="AJ723" s="764">
        <v>3500</v>
      </c>
      <c r="AK723" s="765">
        <v>203</v>
      </c>
      <c r="AL723" s="765">
        <v>6.9</v>
      </c>
      <c r="AM723" s="765">
        <v>102</v>
      </c>
      <c r="AN723" s="765">
        <v>10.8</v>
      </c>
      <c r="AO723" s="765" t="s">
        <v>1402</v>
      </c>
      <c r="AP723" s="765">
        <v>27</v>
      </c>
      <c r="AQ723" s="769">
        <v>18</v>
      </c>
      <c r="AR723" s="770">
        <v>10</v>
      </c>
      <c r="AS723" s="766">
        <v>23</v>
      </c>
      <c r="AT723" s="768">
        <v>34</v>
      </c>
      <c r="AU723" s="767">
        <v>4.91</v>
      </c>
      <c r="AV723" s="768">
        <v>16.2</v>
      </c>
      <c r="AW723" s="765">
        <v>27</v>
      </c>
      <c r="AX723" s="765">
        <v>266</v>
      </c>
      <c r="AY723" s="765">
        <v>96.1</v>
      </c>
      <c r="AZ723" s="765">
        <v>583</v>
      </c>
      <c r="BA723" s="765">
        <v>3.51</v>
      </c>
      <c r="BB723" s="765">
        <v>55.8</v>
      </c>
      <c r="BC723" s="765">
        <v>23</v>
      </c>
      <c r="BD723" s="765">
        <v>103</v>
      </c>
      <c r="BE723" s="767">
        <v>0.1664261584082169</v>
      </c>
      <c r="BF723" s="768">
        <v>241.5</v>
      </c>
      <c r="BG723" s="765">
        <v>539</v>
      </c>
      <c r="BH723" s="765">
        <v>51.2</v>
      </c>
      <c r="BI723" s="765"/>
      <c r="BJ723" s="765"/>
      <c r="BK723" s="765"/>
      <c r="BL723" s="771"/>
    </row>
    <row r="724" spans="35:64" x14ac:dyDescent="0.3">
      <c r="AI724" s="763" t="s">
        <v>1403</v>
      </c>
      <c r="AJ724" s="764">
        <v>3260</v>
      </c>
      <c r="AK724" s="765">
        <v>152</v>
      </c>
      <c r="AL724" s="765">
        <v>11.8</v>
      </c>
      <c r="AM724" s="765">
        <v>91</v>
      </c>
      <c r="AN724" s="765">
        <v>9.1</v>
      </c>
      <c r="AO724" s="765" t="s">
        <v>1404</v>
      </c>
      <c r="AP724" s="765">
        <v>27</v>
      </c>
      <c r="AQ724" s="769">
        <v>14</v>
      </c>
      <c r="AR724" s="770">
        <v>10</v>
      </c>
      <c r="AS724" s="766">
        <v>18.399999999999999</v>
      </c>
      <c r="AT724" s="768">
        <v>27</v>
      </c>
      <c r="AU724" s="767">
        <v>4.72</v>
      </c>
      <c r="AV724" s="768">
        <v>26.3</v>
      </c>
      <c r="AW724" s="765">
        <v>24</v>
      </c>
      <c r="AX724" s="765">
        <v>237</v>
      </c>
      <c r="AY724" s="765">
        <v>103</v>
      </c>
      <c r="AZ724" s="765">
        <v>465</v>
      </c>
      <c r="BA724" s="765">
        <v>2.8</v>
      </c>
      <c r="BB724" s="765">
        <v>47.5</v>
      </c>
      <c r="BC724" s="765">
        <v>24.1</v>
      </c>
      <c r="BD724" s="765">
        <v>81.3</v>
      </c>
      <c r="BE724" s="767">
        <v>0.1625521893578509</v>
      </c>
      <c r="BF724" s="768">
        <v>241.5</v>
      </c>
      <c r="BG724" s="765">
        <v>250</v>
      </c>
      <c r="BH724" s="765">
        <v>40.9</v>
      </c>
      <c r="BI724" s="765"/>
      <c r="BJ724" s="765"/>
      <c r="BK724" s="765"/>
      <c r="BL724" s="771"/>
    </row>
    <row r="725" spans="35:64" x14ac:dyDescent="0.3">
      <c r="AI725" s="763" t="s">
        <v>1405</v>
      </c>
      <c r="AJ725" s="764">
        <v>2370</v>
      </c>
      <c r="AK725" s="765">
        <v>152</v>
      </c>
      <c r="AL725" s="765">
        <v>5.9</v>
      </c>
      <c r="AM725" s="765">
        <v>85</v>
      </c>
      <c r="AN725" s="765">
        <v>9.1</v>
      </c>
      <c r="AO725" s="765" t="s">
        <v>1406</v>
      </c>
      <c r="AP725" s="765">
        <v>24</v>
      </c>
      <c r="AQ725" s="769">
        <v>15</v>
      </c>
      <c r="AR725" s="770">
        <v>8</v>
      </c>
      <c r="AS725" s="766">
        <v>17.25</v>
      </c>
      <c r="AT725" s="768">
        <v>26</v>
      </c>
      <c r="AU725" s="767">
        <v>5</v>
      </c>
      <c r="AV725" s="768">
        <v>11.3</v>
      </c>
      <c r="AW725" s="765">
        <v>10.9</v>
      </c>
      <c r="AX725" s="765">
        <v>143</v>
      </c>
      <c r="AY725" s="765">
        <v>78.599999999999994</v>
      </c>
      <c r="AZ725" s="765">
        <v>316</v>
      </c>
      <c r="BA725" s="765">
        <v>1.79</v>
      </c>
      <c r="BB725" s="765">
        <v>33.799999999999997</v>
      </c>
      <c r="BC725" s="765">
        <v>20.2</v>
      </c>
      <c r="BD725" s="765">
        <v>60.4</v>
      </c>
      <c r="BE725" s="767">
        <v>0.14293659277829321</v>
      </c>
      <c r="BF725" s="768">
        <v>192.2</v>
      </c>
      <c r="BG725" s="765">
        <v>229</v>
      </c>
      <c r="BH725" s="765">
        <v>16.5</v>
      </c>
      <c r="BI725" s="765"/>
      <c r="BJ725" s="765"/>
      <c r="BK725" s="765"/>
      <c r="BL725" s="771"/>
    </row>
    <row r="726" spans="35:64" x14ac:dyDescent="0.3">
      <c r="AI726" s="763" t="s">
        <v>1407</v>
      </c>
      <c r="AJ726" s="764">
        <v>1890</v>
      </c>
      <c r="AK726" s="765">
        <v>127</v>
      </c>
      <c r="AL726" s="765">
        <v>5.4</v>
      </c>
      <c r="AM726" s="765">
        <v>76</v>
      </c>
      <c r="AN726" s="765">
        <v>8.3000000000000007</v>
      </c>
      <c r="AO726" s="765" t="s">
        <v>1408</v>
      </c>
      <c r="AP726" s="765">
        <v>24</v>
      </c>
      <c r="AQ726" s="769">
        <v>13</v>
      </c>
      <c r="AR726" s="769">
        <v>8</v>
      </c>
      <c r="AS726" s="766">
        <v>12.5</v>
      </c>
      <c r="AT726" s="768">
        <v>19</v>
      </c>
      <c r="AU726" s="767">
        <v>4.67</v>
      </c>
      <c r="AV726" s="768">
        <v>22.7</v>
      </c>
      <c r="AW726" s="765">
        <v>9.16</v>
      </c>
      <c r="AX726" s="765">
        <v>121</v>
      </c>
      <c r="AY726" s="765">
        <v>82.9</v>
      </c>
      <c r="AZ726" s="765">
        <v>272</v>
      </c>
      <c r="BA726" s="765">
        <v>1.56</v>
      </c>
      <c r="BB726" s="765">
        <v>30.7</v>
      </c>
      <c r="BC726" s="765">
        <v>21.1</v>
      </c>
      <c r="BD726" s="765">
        <v>52.4</v>
      </c>
      <c r="BE726" s="767">
        <v>0.14141569088502021</v>
      </c>
      <c r="BF726" s="768">
        <v>192.2</v>
      </c>
      <c r="BG726" s="765">
        <v>140</v>
      </c>
      <c r="BH726" s="765">
        <v>14.4</v>
      </c>
      <c r="BI726" s="765"/>
      <c r="BJ726" s="765"/>
      <c r="BK726" s="765"/>
      <c r="BL726" s="771"/>
    </row>
    <row r="727" spans="35:64" x14ac:dyDescent="0.3">
      <c r="AI727" s="763" t="s">
        <v>1409</v>
      </c>
      <c r="AJ727" s="764">
        <v>1810</v>
      </c>
      <c r="AK727" s="765">
        <v>102</v>
      </c>
      <c r="AL727" s="765">
        <v>8.3000000000000007</v>
      </c>
      <c r="AM727" s="765">
        <v>71</v>
      </c>
      <c r="AN727" s="765">
        <v>7.4</v>
      </c>
      <c r="AO727" s="765" t="s">
        <v>1410</v>
      </c>
      <c r="AP727" s="765">
        <v>20</v>
      </c>
      <c r="AQ727" s="769">
        <v>13</v>
      </c>
      <c r="AR727" s="769">
        <v>6</v>
      </c>
      <c r="AS727" s="766">
        <v>10</v>
      </c>
      <c r="AT727" s="768">
        <v>15</v>
      </c>
      <c r="AU727" s="767">
        <v>4.58</v>
      </c>
      <c r="AV727" s="768">
        <v>20.399999999999999</v>
      </c>
      <c r="AW727" s="765">
        <v>5.1100000000000003</v>
      </c>
      <c r="AX727" s="765">
        <v>80.5</v>
      </c>
      <c r="AY727" s="765">
        <v>57.8</v>
      </c>
      <c r="AZ727" s="765">
        <v>173</v>
      </c>
      <c r="BA727" s="765">
        <v>0.96899999999999997</v>
      </c>
      <c r="BB727" s="765">
        <v>21.3</v>
      </c>
      <c r="BC727" s="765">
        <v>17.2</v>
      </c>
      <c r="BD727" s="765">
        <v>38.9</v>
      </c>
      <c r="BE727" s="767">
        <v>0.1237554191033915</v>
      </c>
      <c r="BF727" s="768">
        <v>142.9</v>
      </c>
      <c r="BG727" s="765">
        <v>152</v>
      </c>
      <c r="BH727" s="765">
        <v>4.95</v>
      </c>
      <c r="BI727" s="765"/>
      <c r="BJ727" s="765"/>
      <c r="BK727" s="765"/>
      <c r="BL727" s="771"/>
    </row>
    <row r="728" spans="35:64" x14ac:dyDescent="0.3">
      <c r="AI728" s="763" t="s">
        <v>1411</v>
      </c>
      <c r="AJ728" s="764">
        <v>1470</v>
      </c>
      <c r="AK728" s="765">
        <v>102</v>
      </c>
      <c r="AL728" s="765">
        <v>4.9000000000000004</v>
      </c>
      <c r="AM728" s="765">
        <v>68</v>
      </c>
      <c r="AN728" s="765">
        <v>7.4</v>
      </c>
      <c r="AO728" s="765" t="s">
        <v>1412</v>
      </c>
      <c r="AP728" s="765">
        <v>20</v>
      </c>
      <c r="AQ728" s="769">
        <v>10</v>
      </c>
      <c r="AR728" s="770">
        <v>6</v>
      </c>
      <c r="AS728" s="766">
        <v>9.5</v>
      </c>
      <c r="AT728" s="768">
        <v>14.1</v>
      </c>
      <c r="AU728" s="767">
        <v>4.8</v>
      </c>
      <c r="AV728" s="768">
        <v>10.5</v>
      </c>
      <c r="AW728" s="765">
        <v>2.85</v>
      </c>
      <c r="AX728" s="765">
        <v>55.9</v>
      </c>
      <c r="AY728" s="765">
        <v>62.2</v>
      </c>
      <c r="AZ728" s="765">
        <v>138</v>
      </c>
      <c r="BA728" s="765">
        <v>0.76500000000000001</v>
      </c>
      <c r="BB728" s="765">
        <v>18</v>
      </c>
      <c r="BC728" s="765">
        <v>18</v>
      </c>
      <c r="BD728" s="765">
        <v>30.6</v>
      </c>
      <c r="BE728" s="767">
        <v>0.1194782424419179</v>
      </c>
      <c r="BF728" s="768">
        <v>142.9</v>
      </c>
      <c r="BG728" s="765">
        <v>68.5</v>
      </c>
      <c r="BH728" s="765">
        <v>3.9</v>
      </c>
      <c r="BI728" s="765"/>
      <c r="BJ728" s="765"/>
      <c r="BK728" s="765"/>
      <c r="BL728" s="771"/>
    </row>
    <row r="729" spans="35:64" x14ac:dyDescent="0.3">
      <c r="AI729" s="763" t="s">
        <v>1413</v>
      </c>
      <c r="AJ729" s="764">
        <v>1430</v>
      </c>
      <c r="AK729" s="765">
        <v>76</v>
      </c>
      <c r="AL729" s="765">
        <v>8.9</v>
      </c>
      <c r="AM729" s="765">
        <v>64</v>
      </c>
      <c r="AN729" s="765">
        <v>6.6</v>
      </c>
      <c r="AO729" s="765" t="s">
        <v>1414</v>
      </c>
      <c r="AP729" s="765">
        <v>19</v>
      </c>
      <c r="AQ729" s="769">
        <v>10</v>
      </c>
      <c r="AR729" s="770">
        <v>5</v>
      </c>
      <c r="AS729" s="766">
        <v>7.7</v>
      </c>
      <c r="AT729" s="768">
        <v>11</v>
      </c>
      <c r="AU729" s="767">
        <v>4.59</v>
      </c>
      <c r="AV729" s="768">
        <v>17.8</v>
      </c>
      <c r="AW729" s="765">
        <v>2.56</v>
      </c>
      <c r="AX729" s="765">
        <v>50.3</v>
      </c>
      <c r="AY729" s="765">
        <v>52</v>
      </c>
      <c r="AZ729" s="765">
        <v>92.7</v>
      </c>
      <c r="BA729" s="765">
        <v>0.501</v>
      </c>
      <c r="BB729" s="765">
        <v>13.2</v>
      </c>
      <c r="BC729" s="765">
        <v>16.3</v>
      </c>
      <c r="BD729" s="765">
        <v>22.3</v>
      </c>
      <c r="BE729" s="767">
        <v>0.10800395475526239</v>
      </c>
      <c r="BF729" s="768">
        <v>118.7</v>
      </c>
      <c r="BG729" s="765">
        <v>47</v>
      </c>
      <c r="BH729" s="765">
        <v>1.76</v>
      </c>
      <c r="BI729" s="765"/>
      <c r="BJ729" s="765"/>
      <c r="BK729" s="765"/>
      <c r="BL729" s="771"/>
    </row>
    <row r="730" spans="35:64" x14ac:dyDescent="0.3">
      <c r="AI730" s="785" t="s">
        <v>1415</v>
      </c>
      <c r="AJ730" s="786">
        <v>1070</v>
      </c>
      <c r="AK730" s="787">
        <v>76</v>
      </c>
      <c r="AL730" s="787">
        <v>4.3</v>
      </c>
      <c r="AM730" s="787">
        <v>59</v>
      </c>
      <c r="AN730" s="787">
        <v>6.6</v>
      </c>
      <c r="AO730" s="765" t="s">
        <v>1416</v>
      </c>
      <c r="AP730" s="765">
        <v>18</v>
      </c>
      <c r="AQ730" s="769">
        <v>12</v>
      </c>
      <c r="AR730" s="770">
        <v>4</v>
      </c>
      <c r="AS730" s="766">
        <v>7.5</v>
      </c>
      <c r="AT730" s="768">
        <v>11</v>
      </c>
      <c r="AU730" s="767">
        <v>4.8499999999999996</v>
      </c>
      <c r="AV730" s="768">
        <v>7.06</v>
      </c>
      <c r="AW730" s="765">
        <v>1.22</v>
      </c>
      <c r="AX730" s="765">
        <v>32</v>
      </c>
      <c r="AY730" s="765">
        <v>39.700000000000003</v>
      </c>
      <c r="AZ730" s="765">
        <v>66.599999999999994</v>
      </c>
      <c r="BA730" s="765">
        <v>0.372</v>
      </c>
      <c r="BB730" s="765">
        <v>10.5</v>
      </c>
      <c r="BC730" s="765">
        <v>14.3</v>
      </c>
      <c r="BD730" s="765">
        <v>18.399999999999999</v>
      </c>
      <c r="BE730" s="767">
        <v>9.9760969852714348E-2</v>
      </c>
      <c r="BF730" s="768">
        <v>94.6</v>
      </c>
      <c r="BG730" s="765">
        <v>50.6</v>
      </c>
      <c r="BH730" s="765">
        <v>0.83199999999999996</v>
      </c>
      <c r="BI730" s="765"/>
      <c r="BJ730" s="765"/>
      <c r="BK730" s="765"/>
      <c r="BL730" s="771"/>
    </row>
    <row r="731" spans="35:64" x14ac:dyDescent="0.3">
      <c r="AI731" s="9" t="s">
        <v>1417</v>
      </c>
      <c r="AJ731" s="10">
        <v>2240</v>
      </c>
      <c r="AK731" s="11">
        <v>305</v>
      </c>
      <c r="AL731" s="11">
        <v>4.5</v>
      </c>
      <c r="AM731" s="11">
        <v>78</v>
      </c>
      <c r="AN731" s="11">
        <v>5.7</v>
      </c>
      <c r="AO731" s="765" t="s">
        <v>1418</v>
      </c>
      <c r="AP731" s="765">
        <v>18</v>
      </c>
      <c r="AQ731" s="769">
        <v>10</v>
      </c>
      <c r="AR731" s="770">
        <v>4</v>
      </c>
      <c r="AS731" s="788">
        <v>5.7</v>
      </c>
      <c r="AT731" s="790">
        <v>8</v>
      </c>
      <c r="AU731" s="789">
        <v>4.47</v>
      </c>
      <c r="AV731" s="790">
        <v>14.6</v>
      </c>
      <c r="AW731" s="787">
        <v>1.04</v>
      </c>
      <c r="AX731" s="787">
        <v>27.4</v>
      </c>
      <c r="AY731" s="765">
        <v>41.8</v>
      </c>
      <c r="AZ731" s="765">
        <v>58</v>
      </c>
      <c r="BA731" s="765">
        <v>0.32</v>
      </c>
      <c r="BB731" s="765">
        <v>9.4</v>
      </c>
      <c r="BC731" s="765">
        <v>14.8</v>
      </c>
      <c r="BD731" s="765">
        <v>15.9</v>
      </c>
      <c r="BE731" s="767">
        <v>9.7516928206135348E-2</v>
      </c>
      <c r="BF731" s="768">
        <v>94.6</v>
      </c>
      <c r="BG731" s="765">
        <v>30.7</v>
      </c>
      <c r="BH731" s="765">
        <v>0.71499999999999997</v>
      </c>
      <c r="BI731" s="765"/>
      <c r="BJ731" s="765"/>
      <c r="BK731" s="765"/>
      <c r="BL731" s="771"/>
    </row>
    <row r="732" spans="35:64" x14ac:dyDescent="0.3">
      <c r="AI732" s="763" t="s">
        <v>1419</v>
      </c>
      <c r="AJ732" s="764">
        <v>2060</v>
      </c>
      <c r="AK732" s="765">
        <v>304</v>
      </c>
      <c r="AL732" s="765">
        <v>4.0999999999999996</v>
      </c>
      <c r="AM732" s="765">
        <v>78</v>
      </c>
      <c r="AN732" s="765">
        <v>5.3</v>
      </c>
      <c r="AO732" s="765" t="s">
        <v>1420</v>
      </c>
      <c r="AP732" s="765">
        <v>16</v>
      </c>
      <c r="AQ732" s="769">
        <v>11</v>
      </c>
      <c r="AR732" s="770">
        <v>3</v>
      </c>
      <c r="AS732" s="15">
        <v>11.8</v>
      </c>
      <c r="AT732" s="16">
        <v>17.600000000000001</v>
      </c>
      <c r="AU732" s="17">
        <v>6.84</v>
      </c>
      <c r="AV732" s="16">
        <v>65.2</v>
      </c>
      <c r="AW732" s="11">
        <v>30.1</v>
      </c>
      <c r="AX732" s="11">
        <v>197</v>
      </c>
      <c r="AY732" s="765">
        <v>29.2</v>
      </c>
      <c r="AZ732" s="765">
        <v>38.700000000000003</v>
      </c>
      <c r="BA732" s="765">
        <v>0.246</v>
      </c>
      <c r="BB732" s="765">
        <v>7.68</v>
      </c>
      <c r="BC732" s="765">
        <v>13.1</v>
      </c>
      <c r="BD732" s="765">
        <v>13.6</v>
      </c>
      <c r="BE732" s="767">
        <v>9.1829393375767565E-2</v>
      </c>
      <c r="BF732" s="768">
        <v>69.400000000000006</v>
      </c>
      <c r="BG732" s="765">
        <v>38.1</v>
      </c>
      <c r="BH732" s="765">
        <v>0.29599999999999999</v>
      </c>
      <c r="BI732" s="765"/>
      <c r="BJ732" s="765"/>
      <c r="BK732" s="765"/>
      <c r="BL732" s="771"/>
    </row>
    <row r="733" spans="35:64" x14ac:dyDescent="0.3">
      <c r="AI733" s="763" t="s">
        <v>1421</v>
      </c>
      <c r="AJ733" s="764">
        <v>1910</v>
      </c>
      <c r="AK733" s="765">
        <v>304</v>
      </c>
      <c r="AL733" s="765">
        <v>3.8</v>
      </c>
      <c r="AM733" s="765">
        <v>83</v>
      </c>
      <c r="AN733" s="765">
        <v>4.5999999999999996</v>
      </c>
      <c r="AO733" s="787" t="s">
        <v>1422</v>
      </c>
      <c r="AP733" s="787">
        <v>16</v>
      </c>
      <c r="AQ733" s="792">
        <v>9</v>
      </c>
      <c r="AR733" s="793">
        <v>3</v>
      </c>
      <c r="AS733" s="766">
        <v>10.8</v>
      </c>
      <c r="AT733" s="768">
        <v>16.100000000000001</v>
      </c>
      <c r="AU733" s="767">
        <v>7.36</v>
      </c>
      <c r="AV733" s="768">
        <v>71.599999999999994</v>
      </c>
      <c r="AW733" s="765">
        <v>27.7</v>
      </c>
      <c r="AX733" s="765">
        <v>182</v>
      </c>
      <c r="AY733" s="787">
        <v>31.2</v>
      </c>
      <c r="AZ733" s="787">
        <v>31.8</v>
      </c>
      <c r="BA733" s="787">
        <v>0.187</v>
      </c>
      <c r="BB733" s="787">
        <v>6.34</v>
      </c>
      <c r="BC733" s="787">
        <v>13.2</v>
      </c>
      <c r="BD733" s="787">
        <v>10.6</v>
      </c>
      <c r="BE733" s="789">
        <v>8.6522836732229116E-2</v>
      </c>
      <c r="BF733" s="790">
        <v>69.400000000000006</v>
      </c>
      <c r="BG733" s="787">
        <v>18.2</v>
      </c>
      <c r="BH733" s="787">
        <v>0.22500000000000001</v>
      </c>
      <c r="BI733" s="787"/>
      <c r="BJ733" s="787"/>
      <c r="BK733" s="787"/>
      <c r="BL733" s="794"/>
    </row>
    <row r="734" spans="35:64" x14ac:dyDescent="0.3">
      <c r="AI734" s="763" t="s">
        <v>1423</v>
      </c>
      <c r="AJ734" s="764">
        <v>1710</v>
      </c>
      <c r="AK734" s="765">
        <v>254</v>
      </c>
      <c r="AL734" s="765">
        <v>4</v>
      </c>
      <c r="AM734" s="765">
        <v>68</v>
      </c>
      <c r="AN734" s="765">
        <v>5.2</v>
      </c>
      <c r="AO734" s="11" t="s">
        <v>1424</v>
      </c>
      <c r="AP734" s="11">
        <v>14</v>
      </c>
      <c r="AQ734" s="13">
        <v>9</v>
      </c>
      <c r="AR734" s="14">
        <v>12</v>
      </c>
      <c r="AS734" s="766">
        <v>10</v>
      </c>
      <c r="AT734" s="768">
        <v>14.9</v>
      </c>
      <c r="AU734" s="767">
        <v>9.02</v>
      </c>
      <c r="AV734" s="768">
        <v>77.599999999999994</v>
      </c>
      <c r="AW734" s="765">
        <v>25.8</v>
      </c>
      <c r="AX734" s="765">
        <v>170</v>
      </c>
      <c r="AY734" s="11">
        <v>116</v>
      </c>
      <c r="AZ734" s="11">
        <v>235</v>
      </c>
      <c r="BA734" s="11">
        <v>0.45300000000000001</v>
      </c>
      <c r="BB734" s="11">
        <v>11.6</v>
      </c>
      <c r="BC734" s="11">
        <v>14.2</v>
      </c>
      <c r="BD734" s="11">
        <v>18.8</v>
      </c>
      <c r="BE734" s="17">
        <v>0.1042009745747477</v>
      </c>
      <c r="BF734" s="17">
        <v>299.3</v>
      </c>
      <c r="BG734" s="11">
        <v>20.8</v>
      </c>
      <c r="BH734" s="11">
        <v>10.1</v>
      </c>
      <c r="BI734" s="11"/>
      <c r="BJ734" s="11"/>
      <c r="BK734" s="11"/>
      <c r="BL734" s="18"/>
    </row>
    <row r="735" spans="35:64" x14ac:dyDescent="0.3">
      <c r="AI735" s="763" t="s">
        <v>1425</v>
      </c>
      <c r="AJ735" s="764">
        <v>1530</v>
      </c>
      <c r="AK735" s="765">
        <v>253</v>
      </c>
      <c r="AL735" s="765">
        <v>3.6</v>
      </c>
      <c r="AM735" s="765">
        <v>68</v>
      </c>
      <c r="AN735" s="765">
        <v>4.5999999999999996</v>
      </c>
      <c r="AO735" s="765" t="s">
        <v>1426</v>
      </c>
      <c r="AP735" s="765">
        <v>14</v>
      </c>
      <c r="AQ735" s="769">
        <v>9</v>
      </c>
      <c r="AR735" s="770">
        <v>12</v>
      </c>
      <c r="AS735" s="766">
        <v>9</v>
      </c>
      <c r="AT735" s="768">
        <v>13.4</v>
      </c>
      <c r="AU735" s="767">
        <v>6.54</v>
      </c>
      <c r="AV735" s="768">
        <v>60.9</v>
      </c>
      <c r="AW735" s="765">
        <v>16.2</v>
      </c>
      <c r="AX735" s="765">
        <v>127</v>
      </c>
      <c r="AY735" s="765">
        <v>116</v>
      </c>
      <c r="AZ735" s="765">
        <v>216</v>
      </c>
      <c r="BA735" s="765">
        <v>0.42099999999999999</v>
      </c>
      <c r="BB735" s="765">
        <v>10.8</v>
      </c>
      <c r="BC735" s="765">
        <v>14.3</v>
      </c>
      <c r="BD735" s="765">
        <v>17.399999999999999</v>
      </c>
      <c r="BE735" s="767">
        <v>0.1045204396926749</v>
      </c>
      <c r="BF735" s="767">
        <v>298.7</v>
      </c>
      <c r="BG735" s="765">
        <v>16.3</v>
      </c>
      <c r="BH735" s="765">
        <v>9.39</v>
      </c>
      <c r="BI735" s="765"/>
      <c r="BJ735" s="765"/>
      <c r="BK735" s="765"/>
      <c r="BL735" s="771"/>
    </row>
    <row r="736" spans="35:64" x14ac:dyDescent="0.3">
      <c r="AI736" s="763" t="s">
        <v>1427</v>
      </c>
      <c r="AJ736" s="764">
        <v>1430</v>
      </c>
      <c r="AK736" s="765">
        <v>254</v>
      </c>
      <c r="AL736" s="765">
        <v>3.3</v>
      </c>
      <c r="AM736" s="765">
        <v>68</v>
      </c>
      <c r="AN736" s="765">
        <v>4.4000000000000004</v>
      </c>
      <c r="AO736" s="765" t="s">
        <v>1428</v>
      </c>
      <c r="AP736" s="765">
        <v>12</v>
      </c>
      <c r="AQ736" s="769">
        <v>8</v>
      </c>
      <c r="AR736" s="769">
        <v>12</v>
      </c>
      <c r="AS736" s="766">
        <v>8</v>
      </c>
      <c r="AT736" s="768">
        <v>11.9</v>
      </c>
      <c r="AU736" s="767">
        <v>7.39</v>
      </c>
      <c r="AV736" s="767">
        <v>67.7</v>
      </c>
      <c r="AW736" s="765">
        <v>14.4</v>
      </c>
      <c r="AX736" s="765">
        <v>114</v>
      </c>
      <c r="AY736" s="765">
        <v>116</v>
      </c>
      <c r="AZ736" s="765">
        <v>201</v>
      </c>
      <c r="BA736" s="765">
        <v>0.44</v>
      </c>
      <c r="BB736" s="765">
        <v>10.6</v>
      </c>
      <c r="BC736" s="765">
        <v>15.2</v>
      </c>
      <c r="BD736" s="765">
        <v>16.899999999999999</v>
      </c>
      <c r="BE736" s="773">
        <v>0.1106618091691884</v>
      </c>
      <c r="BF736" s="767">
        <v>299.39999999999998</v>
      </c>
      <c r="BG736" s="765">
        <v>12.1</v>
      </c>
      <c r="BH736" s="765">
        <v>9.85</v>
      </c>
      <c r="BI736" s="765"/>
      <c r="BJ736" s="765"/>
      <c r="BK736" s="765"/>
      <c r="BL736" s="771"/>
    </row>
    <row r="737" spans="35:64" x14ac:dyDescent="0.3">
      <c r="AI737" s="763" t="s">
        <v>1429</v>
      </c>
      <c r="AJ737" s="764">
        <v>1230</v>
      </c>
      <c r="AK737" s="765">
        <v>203</v>
      </c>
      <c r="AL737" s="765">
        <v>3.4</v>
      </c>
      <c r="AM737" s="765">
        <v>58</v>
      </c>
      <c r="AN737" s="765">
        <v>4.8</v>
      </c>
      <c r="AO737" s="765" t="s">
        <v>1430</v>
      </c>
      <c r="AP737" s="765">
        <v>14</v>
      </c>
      <c r="AQ737" s="765">
        <v>9</v>
      </c>
      <c r="AR737" s="765">
        <v>10</v>
      </c>
      <c r="AS737" s="766">
        <v>7.5</v>
      </c>
      <c r="AT737" s="768">
        <v>11.2</v>
      </c>
      <c r="AU737" s="767">
        <v>7.73</v>
      </c>
      <c r="AV737" s="768">
        <v>74.3</v>
      </c>
      <c r="AW737" s="765">
        <v>13.7</v>
      </c>
      <c r="AX737" s="765">
        <v>108</v>
      </c>
      <c r="AY737" s="765">
        <v>97.2</v>
      </c>
      <c r="AZ737" s="765">
        <v>151</v>
      </c>
      <c r="BA737" s="765">
        <v>0.27400000000000002</v>
      </c>
      <c r="BB737" s="765">
        <v>8.0500000000000007</v>
      </c>
      <c r="BC737" s="765">
        <v>12.7</v>
      </c>
      <c r="BD737" s="765">
        <v>13</v>
      </c>
      <c r="BE737" s="773">
        <v>9.2124945591524537E-2</v>
      </c>
      <c r="BF737" s="767">
        <v>248.8</v>
      </c>
      <c r="BG737" s="765">
        <v>13.1</v>
      </c>
      <c r="BH737" s="765">
        <v>4.24</v>
      </c>
      <c r="BI737" s="765"/>
      <c r="BJ737" s="765"/>
      <c r="BK737" s="765"/>
      <c r="BL737" s="771"/>
    </row>
    <row r="738" spans="35:64" x14ac:dyDescent="0.3">
      <c r="AI738" s="763" t="s">
        <v>1431</v>
      </c>
      <c r="AJ738" s="764">
        <v>1180</v>
      </c>
      <c r="AK738" s="765">
        <v>203</v>
      </c>
      <c r="AL738" s="765">
        <v>3.3</v>
      </c>
      <c r="AM738" s="765">
        <v>58</v>
      </c>
      <c r="AN738" s="765">
        <v>4.5</v>
      </c>
      <c r="AO738" s="765" t="s">
        <v>1432</v>
      </c>
      <c r="AP738" s="765">
        <v>13</v>
      </c>
      <c r="AQ738" s="769">
        <v>9</v>
      </c>
      <c r="AR738" s="770">
        <v>10</v>
      </c>
      <c r="AS738" s="766">
        <v>6.5</v>
      </c>
      <c r="AT738" s="768">
        <v>9.6999999999999993</v>
      </c>
      <c r="AU738" s="767">
        <v>6.04</v>
      </c>
      <c r="AV738" s="768">
        <v>56.9</v>
      </c>
      <c r="AW738" s="765">
        <v>7.7</v>
      </c>
      <c r="AX738" s="765">
        <v>75.900000000000006</v>
      </c>
      <c r="AY738" s="765">
        <v>96.9</v>
      </c>
      <c r="AZ738" s="765">
        <v>134</v>
      </c>
      <c r="BA738" s="765">
        <v>0.24199999999999999</v>
      </c>
      <c r="BB738" s="765">
        <v>7.12</v>
      </c>
      <c r="BC738" s="765">
        <v>12.6</v>
      </c>
      <c r="BD738" s="765">
        <v>11.4</v>
      </c>
      <c r="BE738" s="773">
        <v>9.1291138613908723E-2</v>
      </c>
      <c r="BF738" s="767">
        <v>248.4</v>
      </c>
      <c r="BG738" s="765">
        <v>9.35</v>
      </c>
      <c r="BH738" s="765">
        <v>3.73</v>
      </c>
      <c r="BI738" s="765"/>
      <c r="BJ738" s="765"/>
      <c r="BK738" s="765"/>
      <c r="BL738" s="771"/>
    </row>
    <row r="739" spans="35:64" x14ac:dyDescent="0.3">
      <c r="AI739" s="763" t="s">
        <v>1433</v>
      </c>
      <c r="AJ739" s="764">
        <v>834</v>
      </c>
      <c r="AK739" s="765">
        <v>152</v>
      </c>
      <c r="AL739" s="765">
        <v>2.9</v>
      </c>
      <c r="AM739" s="765">
        <v>47</v>
      </c>
      <c r="AN739" s="765">
        <v>4.3</v>
      </c>
      <c r="AO739" s="765" t="s">
        <v>1434</v>
      </c>
      <c r="AP739" s="765">
        <v>11</v>
      </c>
      <c r="AQ739" s="769">
        <v>7</v>
      </c>
      <c r="AR739" s="770">
        <v>10</v>
      </c>
      <c r="AS739" s="766">
        <v>6.2</v>
      </c>
      <c r="AT739" s="767">
        <v>9.1999999999999993</v>
      </c>
      <c r="AU739" s="767">
        <v>6.44</v>
      </c>
      <c r="AV739" s="767">
        <v>58.8</v>
      </c>
      <c r="AW739" s="765">
        <v>7.3</v>
      </c>
      <c r="AX739" s="765">
        <v>71.900000000000006</v>
      </c>
      <c r="AY739" s="765">
        <v>97.9</v>
      </c>
      <c r="AZ739" s="765">
        <v>127</v>
      </c>
      <c r="BA739" s="765">
        <v>0.23100000000000001</v>
      </c>
      <c r="BB739" s="765">
        <v>6.8</v>
      </c>
      <c r="BC739" s="765">
        <v>12.7</v>
      </c>
      <c r="BD739" s="765">
        <v>10.8</v>
      </c>
      <c r="BE739" s="773">
        <v>9.1889680697292489E-2</v>
      </c>
      <c r="BF739" s="767">
        <v>249.6</v>
      </c>
      <c r="BG739" s="765">
        <v>7.77</v>
      </c>
      <c r="BH739" s="765">
        <v>3.6</v>
      </c>
      <c r="BI739" s="765"/>
      <c r="BJ739" s="765"/>
      <c r="BK739" s="765"/>
      <c r="BL739" s="771"/>
    </row>
    <row r="740" spans="35:64" x14ac:dyDescent="0.3">
      <c r="AI740" s="763" t="s">
        <v>1435</v>
      </c>
      <c r="AJ740" s="764">
        <v>706</v>
      </c>
      <c r="AK740" s="765">
        <v>150</v>
      </c>
      <c r="AL740" s="765">
        <v>2.5</v>
      </c>
      <c r="AM740" s="765">
        <v>51</v>
      </c>
      <c r="AN740" s="765">
        <v>3.3</v>
      </c>
      <c r="AO740" s="765" t="s">
        <v>1436</v>
      </c>
      <c r="AP740" s="765">
        <v>14</v>
      </c>
      <c r="AQ740" s="769">
        <v>9</v>
      </c>
      <c r="AR740" s="770">
        <v>8</v>
      </c>
      <c r="AS740" s="766">
        <v>4.4000000000000004</v>
      </c>
      <c r="AT740" s="767">
        <v>6.6</v>
      </c>
      <c r="AU740" s="767">
        <v>5.47</v>
      </c>
      <c r="AV740" s="768">
        <v>49.4</v>
      </c>
      <c r="AW740" s="765">
        <v>2.99</v>
      </c>
      <c r="AX740" s="765">
        <v>39.299999999999997</v>
      </c>
      <c r="AY740" s="765">
        <v>79</v>
      </c>
      <c r="AZ740" s="765">
        <v>88.9</v>
      </c>
      <c r="BA740" s="765">
        <v>0.157</v>
      </c>
      <c r="BB740" s="765">
        <v>5.4</v>
      </c>
      <c r="BC740" s="765">
        <v>11.3</v>
      </c>
      <c r="BD740" s="765">
        <v>8.6300000000000008</v>
      </c>
      <c r="BE740" s="773">
        <v>8.0488568850106856E-2</v>
      </c>
      <c r="BF740" s="767">
        <v>198.2</v>
      </c>
      <c r="BG740" s="765">
        <v>7.67</v>
      </c>
      <c r="BH740" s="765">
        <v>1.54</v>
      </c>
      <c r="BI740" s="765"/>
      <c r="BJ740" s="765"/>
      <c r="BK740" s="765"/>
      <c r="BL740" s="771"/>
    </row>
    <row r="741" spans="35:64" x14ac:dyDescent="0.3">
      <c r="AI741" s="775" t="s">
        <v>1437</v>
      </c>
      <c r="AJ741" s="776">
        <v>3580</v>
      </c>
      <c r="AK741" s="777">
        <v>127</v>
      </c>
      <c r="AL741" s="777">
        <v>8</v>
      </c>
      <c r="AM741" s="777">
        <v>127</v>
      </c>
      <c r="AN741" s="777">
        <v>10.6</v>
      </c>
      <c r="AO741" s="765" t="s">
        <v>1438</v>
      </c>
      <c r="AP741" s="765">
        <v>10</v>
      </c>
      <c r="AQ741" s="766">
        <v>6</v>
      </c>
      <c r="AR741" s="766">
        <v>8</v>
      </c>
      <c r="AS741" s="766">
        <v>3.7</v>
      </c>
      <c r="AT741" s="767">
        <v>5.5</v>
      </c>
      <c r="AU741" s="767">
        <v>7.73</v>
      </c>
      <c r="AV741" s="767">
        <v>57.4</v>
      </c>
      <c r="AW741" s="765">
        <v>2.48</v>
      </c>
      <c r="AX741" s="765">
        <v>33</v>
      </c>
      <c r="AY741" s="765">
        <v>78.7</v>
      </c>
      <c r="AZ741" s="765">
        <v>84.4</v>
      </c>
      <c r="BA741" s="765">
        <v>0.14699999999999999</v>
      </c>
      <c r="BB741" s="765">
        <v>5.07</v>
      </c>
      <c r="BC741" s="765">
        <v>11.2</v>
      </c>
      <c r="BD741" s="765">
        <v>8.1</v>
      </c>
      <c r="BE741" s="773">
        <v>8.0132167296278575E-2</v>
      </c>
      <c r="BF741" s="767">
        <v>198.5</v>
      </c>
      <c r="BG741" s="765">
        <v>6.48</v>
      </c>
      <c r="BH741" s="765">
        <v>1.45</v>
      </c>
      <c r="BI741" s="765"/>
      <c r="BJ741" s="765"/>
      <c r="BK741" s="765"/>
      <c r="BL741" s="771"/>
    </row>
    <row r="742" spans="35:64" x14ac:dyDescent="0.3">
      <c r="AI742" s="19" t="s">
        <v>1439</v>
      </c>
      <c r="AJ742" s="20">
        <v>1140</v>
      </c>
      <c r="AK742" s="21">
        <v>97</v>
      </c>
      <c r="AL742" s="21">
        <v>3.3</v>
      </c>
      <c r="AM742" s="21">
        <v>97</v>
      </c>
      <c r="AN742" s="21">
        <v>4.0999999999999996</v>
      </c>
      <c r="AO742" s="765" t="s">
        <v>1440</v>
      </c>
      <c r="AP742" s="765">
        <v>9</v>
      </c>
      <c r="AQ742" s="766">
        <v>5</v>
      </c>
      <c r="AR742" s="766">
        <v>6</v>
      </c>
      <c r="AS742" s="778">
        <v>18.899999999999999</v>
      </c>
      <c r="AT742" s="780">
        <v>28.1</v>
      </c>
      <c r="AU742" s="780">
        <v>5.99</v>
      </c>
      <c r="AV742" s="779">
        <v>12.7</v>
      </c>
      <c r="AW742" s="777">
        <v>10</v>
      </c>
      <c r="AX742" s="777">
        <v>158</v>
      </c>
      <c r="AY742" s="765">
        <v>59.8</v>
      </c>
      <c r="AZ742" s="765">
        <v>45.7</v>
      </c>
      <c r="BA742" s="765">
        <v>7.4700000000000003E-2</v>
      </c>
      <c r="BB742" s="765">
        <v>3.18</v>
      </c>
      <c r="BC742" s="765">
        <v>9.4700000000000006</v>
      </c>
      <c r="BD742" s="765">
        <v>5.05</v>
      </c>
      <c r="BE742" s="773">
        <v>6.6608933117753746E-2</v>
      </c>
      <c r="BF742" s="767">
        <v>147.69999999999999</v>
      </c>
      <c r="BG742" s="765">
        <v>4.0999999999999996</v>
      </c>
      <c r="BH742" s="765">
        <v>0.40699999999999997</v>
      </c>
      <c r="BI742" s="765"/>
      <c r="BJ742" s="765"/>
      <c r="BK742" s="765"/>
      <c r="BL742" s="771"/>
    </row>
    <row r="743" spans="35:64" x14ac:dyDescent="0.3">
      <c r="AI743" s="9" t="s">
        <v>1441</v>
      </c>
      <c r="AJ743" s="10">
        <v>22200</v>
      </c>
      <c r="AK743" s="11">
        <v>361</v>
      </c>
      <c r="AL743" s="11">
        <v>20.399999999999999</v>
      </c>
      <c r="AM743" s="11">
        <v>378</v>
      </c>
      <c r="AN743" s="11">
        <v>20.399999999999999</v>
      </c>
      <c r="AO743" s="765" t="s">
        <v>1442</v>
      </c>
      <c r="AP743" s="765">
        <v>8</v>
      </c>
      <c r="AQ743" s="766">
        <v>5</v>
      </c>
      <c r="AR743" s="766">
        <v>6</v>
      </c>
      <c r="AS743" s="22">
        <v>6</v>
      </c>
      <c r="AT743" s="21">
        <v>8.9</v>
      </c>
      <c r="AU743" s="23">
        <v>11.8</v>
      </c>
      <c r="AV743" s="24">
        <v>26.9</v>
      </c>
      <c r="AW743" s="21">
        <v>2</v>
      </c>
      <c r="AX743" s="21">
        <v>41.2</v>
      </c>
      <c r="AY743" s="765">
        <v>59.3</v>
      </c>
      <c r="AZ743" s="765">
        <v>38.299999999999997</v>
      </c>
      <c r="BA743" s="765">
        <v>7.3099999999999998E-2</v>
      </c>
      <c r="BB743" s="765">
        <v>2.87</v>
      </c>
      <c r="BC743" s="765">
        <v>10.199999999999999</v>
      </c>
      <c r="BD743" s="765">
        <v>4.5199999999999996</v>
      </c>
      <c r="BE743" s="773">
        <v>7.1712758727926193E-2</v>
      </c>
      <c r="BF743" s="767">
        <v>146.69999999999999</v>
      </c>
      <c r="BG743" s="765">
        <v>2.21</v>
      </c>
      <c r="BH743" s="765">
        <v>0.39400000000000002</v>
      </c>
      <c r="BI743" s="765"/>
      <c r="BJ743" s="765"/>
      <c r="BK743" s="765"/>
      <c r="BL743" s="771"/>
    </row>
    <row r="744" spans="35:64" x14ac:dyDescent="0.3">
      <c r="AI744" s="763" t="s">
        <v>1443</v>
      </c>
      <c r="AJ744" s="764">
        <v>19400</v>
      </c>
      <c r="AK744" s="765">
        <v>356</v>
      </c>
      <c r="AL744" s="765">
        <v>17.899999999999999</v>
      </c>
      <c r="AM744" s="765">
        <v>376</v>
      </c>
      <c r="AN744" s="765">
        <v>17.899999999999999</v>
      </c>
      <c r="AO744" s="777" t="s">
        <v>1444</v>
      </c>
      <c r="AP744" s="777">
        <v>22</v>
      </c>
      <c r="AQ744" s="778">
        <v>13</v>
      </c>
      <c r="AR744" s="778">
        <v>5</v>
      </c>
      <c r="AS744" s="15">
        <v>117</v>
      </c>
      <c r="AT744" s="11">
        <v>174</v>
      </c>
      <c r="AU744" s="16">
        <v>9.26</v>
      </c>
      <c r="AV744" s="16">
        <v>15.7</v>
      </c>
      <c r="AW744" s="11">
        <v>508</v>
      </c>
      <c r="AX744" s="11">
        <v>2820</v>
      </c>
      <c r="AY744" s="777">
        <v>52.9</v>
      </c>
      <c r="AZ744" s="777">
        <v>181</v>
      </c>
      <c r="BA744" s="777">
        <v>3.29</v>
      </c>
      <c r="BB744" s="777">
        <v>51.8</v>
      </c>
      <c r="BC744" s="777">
        <v>30.3</v>
      </c>
      <c r="BD744" s="777">
        <v>82.3</v>
      </c>
      <c r="BE744" s="781">
        <v>0.19556952264119901</v>
      </c>
      <c r="BF744" s="780">
        <v>116.4</v>
      </c>
      <c r="BG744" s="777">
        <v>142</v>
      </c>
      <c r="BH744" s="777">
        <v>11.1</v>
      </c>
      <c r="BI744" s="777"/>
      <c r="BJ744" s="777"/>
      <c r="BK744" s="777"/>
      <c r="BL744" s="784"/>
    </row>
    <row r="745" spans="35:64" x14ac:dyDescent="0.3">
      <c r="AI745" s="763" t="s">
        <v>1445</v>
      </c>
      <c r="AJ745" s="764">
        <v>16800</v>
      </c>
      <c r="AK745" s="765">
        <v>351</v>
      </c>
      <c r="AL745" s="765">
        <v>15.6</v>
      </c>
      <c r="AM745" s="765">
        <v>373</v>
      </c>
      <c r="AN745" s="765">
        <v>15.6</v>
      </c>
      <c r="AO745" s="21" t="s">
        <v>1446</v>
      </c>
      <c r="AP745" s="21">
        <v>13</v>
      </c>
      <c r="AQ745" s="22">
        <v>9</v>
      </c>
      <c r="AR745" s="22">
        <v>4</v>
      </c>
      <c r="AS745" s="766">
        <v>102</v>
      </c>
      <c r="AT745" s="768">
        <v>152</v>
      </c>
      <c r="AU745" s="768">
        <v>10.5</v>
      </c>
      <c r="AV745" s="768">
        <v>17.899999999999999</v>
      </c>
      <c r="AW745" s="765">
        <v>439</v>
      </c>
      <c r="AX745" s="765">
        <v>2470</v>
      </c>
      <c r="AY745" s="21">
        <v>41.9</v>
      </c>
      <c r="AZ745" s="21">
        <v>45.6</v>
      </c>
      <c r="BA745" s="21">
        <v>0.624</v>
      </c>
      <c r="BB745" s="21">
        <v>12.9</v>
      </c>
      <c r="BC745" s="21">
        <v>23.4</v>
      </c>
      <c r="BD745" s="21">
        <v>19.5</v>
      </c>
      <c r="BE745" s="23">
        <v>0.14925571921899719</v>
      </c>
      <c r="BF745" s="23">
        <v>92.9</v>
      </c>
      <c r="BG745" s="21">
        <v>7.63</v>
      </c>
      <c r="BH745" s="21">
        <v>1.35</v>
      </c>
      <c r="BI745" s="21"/>
      <c r="BJ745" s="21"/>
      <c r="BK745" s="21"/>
      <c r="BL745" s="25"/>
    </row>
    <row r="746" spans="35:64" x14ac:dyDescent="0.3">
      <c r="AI746" s="763" t="s">
        <v>1447</v>
      </c>
      <c r="AJ746" s="764">
        <v>13800</v>
      </c>
      <c r="AK746" s="765">
        <v>346</v>
      </c>
      <c r="AL746" s="765">
        <v>12.8</v>
      </c>
      <c r="AM746" s="765">
        <v>370</v>
      </c>
      <c r="AN746" s="765">
        <v>12.8</v>
      </c>
      <c r="AO746" s="11" t="s">
        <v>1448</v>
      </c>
      <c r="AP746" s="11">
        <v>37</v>
      </c>
      <c r="AQ746" s="15">
        <v>25</v>
      </c>
      <c r="AR746" s="15">
        <v>14</v>
      </c>
      <c r="AS746" s="766">
        <v>89</v>
      </c>
      <c r="AT746" s="768">
        <v>132</v>
      </c>
      <c r="AU746" s="768">
        <v>12</v>
      </c>
      <c r="AV746" s="768">
        <v>20.5</v>
      </c>
      <c r="AW746" s="765">
        <v>375</v>
      </c>
      <c r="AX746" s="765">
        <v>2140</v>
      </c>
      <c r="AY746" s="11">
        <v>152</v>
      </c>
      <c r="AZ746" s="11">
        <v>3180</v>
      </c>
      <c r="BA746" s="11">
        <v>184</v>
      </c>
      <c r="BB746" s="11">
        <v>973</v>
      </c>
      <c r="BC746" s="11">
        <v>91.1</v>
      </c>
      <c r="BD746" s="11">
        <v>1490</v>
      </c>
      <c r="BE746" s="17">
        <v>0.59260007737508269</v>
      </c>
      <c r="BF746" s="17">
        <v>340.6</v>
      </c>
      <c r="BG746" s="11">
        <v>3310</v>
      </c>
      <c r="BH746" s="11">
        <v>5330</v>
      </c>
      <c r="BI746" s="11">
        <v>32200</v>
      </c>
      <c r="BJ746" s="11">
        <v>62</v>
      </c>
      <c r="BK746" s="11">
        <v>621</v>
      </c>
      <c r="BL746" s="18">
        <v>1570</v>
      </c>
    </row>
    <row r="747" spans="35:64" x14ac:dyDescent="0.3">
      <c r="AI747" s="763" t="s">
        <v>1449</v>
      </c>
      <c r="AJ747" s="764">
        <v>15900</v>
      </c>
      <c r="AK747" s="765">
        <v>312</v>
      </c>
      <c r="AL747" s="765">
        <v>17.399999999999999</v>
      </c>
      <c r="AM747" s="765">
        <v>312</v>
      </c>
      <c r="AN747" s="765">
        <v>17.399999999999999</v>
      </c>
      <c r="AO747" s="765" t="s">
        <v>1450</v>
      </c>
      <c r="AP747" s="765">
        <v>34</v>
      </c>
      <c r="AQ747" s="766">
        <v>24</v>
      </c>
      <c r="AR747" s="766">
        <v>14</v>
      </c>
      <c r="AS747" s="766">
        <v>73</v>
      </c>
      <c r="AT747" s="768">
        <v>108</v>
      </c>
      <c r="AU747" s="767">
        <v>14.5</v>
      </c>
      <c r="AV747" s="768">
        <v>25</v>
      </c>
      <c r="AW747" s="765">
        <v>303</v>
      </c>
      <c r="AX747" s="765">
        <v>1750</v>
      </c>
      <c r="AY747" s="765">
        <v>150</v>
      </c>
      <c r="AZ747" s="765">
        <v>2770</v>
      </c>
      <c r="BA747" s="765">
        <v>159</v>
      </c>
      <c r="BB747" s="765">
        <v>845</v>
      </c>
      <c r="BC747" s="765">
        <v>90.5</v>
      </c>
      <c r="BD747" s="765">
        <v>1290</v>
      </c>
      <c r="BE747" s="767">
        <v>0.58649561263952588</v>
      </c>
      <c r="BF747" s="767">
        <v>338.1</v>
      </c>
      <c r="BG747" s="765">
        <v>2240</v>
      </c>
      <c r="BH747" s="765">
        <v>4540</v>
      </c>
      <c r="BI747" s="765">
        <v>31800</v>
      </c>
      <c r="BJ747" s="765">
        <v>53.5</v>
      </c>
      <c r="BK747" s="765">
        <v>542</v>
      </c>
      <c r="BL747" s="771">
        <v>1370</v>
      </c>
    </row>
    <row r="748" spans="35:64" x14ac:dyDescent="0.3">
      <c r="AI748" s="763" t="s">
        <v>1451</v>
      </c>
      <c r="AJ748" s="764">
        <v>14100</v>
      </c>
      <c r="AK748" s="765">
        <v>308</v>
      </c>
      <c r="AL748" s="765">
        <v>15.4</v>
      </c>
      <c r="AM748" s="765">
        <v>310</v>
      </c>
      <c r="AN748" s="765">
        <v>15.5</v>
      </c>
      <c r="AO748" s="765" t="s">
        <v>1452</v>
      </c>
      <c r="AP748" s="765">
        <v>32</v>
      </c>
      <c r="AQ748" s="766">
        <v>23</v>
      </c>
      <c r="AR748" s="766">
        <v>14</v>
      </c>
      <c r="AS748" s="766">
        <v>84</v>
      </c>
      <c r="AT748" s="768">
        <v>125</v>
      </c>
      <c r="AU748" s="768">
        <v>8.9700000000000006</v>
      </c>
      <c r="AV748" s="768">
        <v>15.9</v>
      </c>
      <c r="AW748" s="765">
        <v>270</v>
      </c>
      <c r="AX748" s="765">
        <v>1730</v>
      </c>
      <c r="AY748" s="765">
        <v>149</v>
      </c>
      <c r="AZ748" s="765">
        <v>2380</v>
      </c>
      <c r="BA748" s="765">
        <v>135</v>
      </c>
      <c r="BB748" s="765">
        <v>724</v>
      </c>
      <c r="BC748" s="765">
        <v>89.6</v>
      </c>
      <c r="BD748" s="765">
        <v>1110</v>
      </c>
      <c r="BE748" s="767">
        <v>0.57852543105953125</v>
      </c>
      <c r="BF748" s="767">
        <v>335.4</v>
      </c>
      <c r="BG748" s="765">
        <v>1490</v>
      </c>
      <c r="BH748" s="765">
        <v>3800</v>
      </c>
      <c r="BI748" s="765">
        <v>31300</v>
      </c>
      <c r="BJ748" s="765">
        <v>45.5</v>
      </c>
      <c r="BK748" s="765">
        <v>468</v>
      </c>
      <c r="BL748" s="771">
        <v>1180</v>
      </c>
    </row>
    <row r="749" spans="35:64" x14ac:dyDescent="0.3">
      <c r="AI749" s="763" t="s">
        <v>1453</v>
      </c>
      <c r="AJ749" s="764">
        <v>11900</v>
      </c>
      <c r="AK749" s="765">
        <v>303</v>
      </c>
      <c r="AL749" s="765">
        <v>13.1</v>
      </c>
      <c r="AM749" s="765">
        <v>308</v>
      </c>
      <c r="AN749" s="765">
        <v>13.1</v>
      </c>
      <c r="AO749" s="765" t="s">
        <v>1454</v>
      </c>
      <c r="AP749" s="765">
        <v>29</v>
      </c>
      <c r="AQ749" s="766">
        <v>22</v>
      </c>
      <c r="AR749" s="766">
        <v>14</v>
      </c>
      <c r="AS749" s="766">
        <v>74</v>
      </c>
      <c r="AT749" s="768">
        <v>110</v>
      </c>
      <c r="AU749" s="768">
        <v>10</v>
      </c>
      <c r="AV749" s="768">
        <v>18</v>
      </c>
      <c r="AW749" s="765">
        <v>237</v>
      </c>
      <c r="AX749" s="765">
        <v>1540</v>
      </c>
      <c r="AY749" s="765">
        <v>148</v>
      </c>
      <c r="AZ749" s="765">
        <v>1940</v>
      </c>
      <c r="BA749" s="765">
        <v>108</v>
      </c>
      <c r="BB749" s="765">
        <v>585</v>
      </c>
      <c r="BC749" s="765">
        <v>88.6</v>
      </c>
      <c r="BD749" s="765">
        <v>891</v>
      </c>
      <c r="BE749" s="767">
        <v>0.57031819631315506</v>
      </c>
      <c r="BF749" s="767">
        <v>333.2</v>
      </c>
      <c r="BG749" s="765">
        <v>832</v>
      </c>
      <c r="BH749" s="765">
        <v>3000</v>
      </c>
      <c r="BI749" s="765">
        <v>30800</v>
      </c>
      <c r="BJ749" s="765">
        <v>36.5</v>
      </c>
      <c r="BK749" s="765">
        <v>381</v>
      </c>
      <c r="BL749" s="771">
        <v>953</v>
      </c>
    </row>
    <row r="750" spans="35:64" x14ac:dyDescent="0.3">
      <c r="AI750" s="763" t="s">
        <v>1455</v>
      </c>
      <c r="AJ750" s="764">
        <v>9980</v>
      </c>
      <c r="AK750" s="765">
        <v>299</v>
      </c>
      <c r="AL750" s="765">
        <v>11</v>
      </c>
      <c r="AM750" s="765">
        <v>306</v>
      </c>
      <c r="AN750" s="765">
        <v>11</v>
      </c>
      <c r="AO750" s="765" t="s">
        <v>1456</v>
      </c>
      <c r="AP750" s="765">
        <v>34</v>
      </c>
      <c r="AQ750" s="766">
        <v>24</v>
      </c>
      <c r="AR750" s="766">
        <v>12</v>
      </c>
      <c r="AS750" s="766">
        <v>63</v>
      </c>
      <c r="AT750" s="768">
        <v>94</v>
      </c>
      <c r="AU750" s="768">
        <v>11.8</v>
      </c>
      <c r="AV750" s="768">
        <v>21.1</v>
      </c>
      <c r="AW750" s="765">
        <v>196</v>
      </c>
      <c r="AX750" s="765">
        <v>1300</v>
      </c>
      <c r="AY750" s="765">
        <v>130</v>
      </c>
      <c r="AZ750" s="765">
        <v>1960</v>
      </c>
      <c r="BA750" s="765">
        <v>88.2</v>
      </c>
      <c r="BB750" s="765">
        <v>566</v>
      </c>
      <c r="BC750" s="765">
        <v>74.5</v>
      </c>
      <c r="BD750" s="765">
        <v>870</v>
      </c>
      <c r="BE750" s="767">
        <v>0.4870823991724042</v>
      </c>
      <c r="BF750" s="767">
        <v>294.60000000000002</v>
      </c>
      <c r="BG750" s="765">
        <v>1760</v>
      </c>
      <c r="BH750" s="765">
        <v>1910</v>
      </c>
      <c r="BI750" s="765">
        <v>23000</v>
      </c>
      <c r="BJ750" s="765">
        <v>31.2</v>
      </c>
      <c r="BK750" s="765">
        <v>378</v>
      </c>
      <c r="BL750" s="771">
        <v>967</v>
      </c>
    </row>
    <row r="751" spans="35:64" x14ac:dyDescent="0.3">
      <c r="AI751" s="763" t="s">
        <v>1457</v>
      </c>
      <c r="AJ751" s="764">
        <v>10900</v>
      </c>
      <c r="AK751" s="765">
        <v>254</v>
      </c>
      <c r="AL751" s="765">
        <v>14.4</v>
      </c>
      <c r="AM751" s="765">
        <v>260</v>
      </c>
      <c r="AN751" s="765">
        <v>14.4</v>
      </c>
      <c r="AO751" s="765" t="s">
        <v>1458</v>
      </c>
      <c r="AP751" s="765">
        <v>32</v>
      </c>
      <c r="AQ751" s="766">
        <v>23</v>
      </c>
      <c r="AR751" s="766">
        <v>12</v>
      </c>
      <c r="AS751" s="766">
        <v>53</v>
      </c>
      <c r="AT751" s="768">
        <v>79</v>
      </c>
      <c r="AU751" s="767">
        <v>13.9</v>
      </c>
      <c r="AV751" s="768">
        <v>25.2</v>
      </c>
      <c r="AW751" s="765">
        <v>163</v>
      </c>
      <c r="AX751" s="765">
        <v>1090</v>
      </c>
      <c r="AY751" s="765">
        <v>130</v>
      </c>
      <c r="AZ751" s="765">
        <v>1730</v>
      </c>
      <c r="BA751" s="765">
        <v>77.099999999999994</v>
      </c>
      <c r="BB751" s="765">
        <v>497</v>
      </c>
      <c r="BC751" s="765">
        <v>74</v>
      </c>
      <c r="BD751" s="765">
        <v>763</v>
      </c>
      <c r="BE751" s="767">
        <v>0.48125385364515277</v>
      </c>
      <c r="BF751" s="767">
        <v>292.5</v>
      </c>
      <c r="BG751" s="765">
        <v>1240</v>
      </c>
      <c r="BH751" s="765">
        <v>1650</v>
      </c>
      <c r="BI751" s="765">
        <v>22700</v>
      </c>
      <c r="BJ751" s="765">
        <v>27.2</v>
      </c>
      <c r="BK751" s="765">
        <v>334</v>
      </c>
      <c r="BL751" s="771">
        <v>850</v>
      </c>
    </row>
    <row r="752" spans="35:64" x14ac:dyDescent="0.3">
      <c r="AI752" s="763" t="s">
        <v>1459</v>
      </c>
      <c r="AJ752" s="765">
        <v>7980</v>
      </c>
      <c r="AK752" s="765">
        <v>246</v>
      </c>
      <c r="AL752" s="765">
        <v>10.5</v>
      </c>
      <c r="AM752" s="765">
        <v>256</v>
      </c>
      <c r="AN752" s="765">
        <v>10.7</v>
      </c>
      <c r="AO752" s="765" t="s">
        <v>1460</v>
      </c>
      <c r="AP752" s="765">
        <v>29</v>
      </c>
      <c r="AQ752" s="766">
        <v>22</v>
      </c>
      <c r="AR752" s="766">
        <v>12</v>
      </c>
      <c r="AS752" s="766">
        <v>57</v>
      </c>
      <c r="AT752" s="768">
        <v>85</v>
      </c>
      <c r="AU752" s="768">
        <v>9.0299999999999994</v>
      </c>
      <c r="AV752" s="768">
        <v>15.6</v>
      </c>
      <c r="AW752" s="765">
        <v>123</v>
      </c>
      <c r="AX752" s="765">
        <v>968</v>
      </c>
      <c r="AY752" s="765">
        <v>129</v>
      </c>
      <c r="AZ752" s="765">
        <v>1450</v>
      </c>
      <c r="BA752" s="765">
        <v>63.9</v>
      </c>
      <c r="BB752" s="765">
        <v>415</v>
      </c>
      <c r="BC752" s="765">
        <v>73.3</v>
      </c>
      <c r="BD752" s="765">
        <v>635</v>
      </c>
      <c r="BE752" s="767">
        <v>0.47443829661085868</v>
      </c>
      <c r="BF752" s="767">
        <v>289.89999999999998</v>
      </c>
      <c r="BG752" s="765">
        <v>764</v>
      </c>
      <c r="BH752" s="765">
        <v>1340</v>
      </c>
      <c r="BI752" s="765">
        <v>22300</v>
      </c>
      <c r="BJ752" s="765">
        <v>22.5</v>
      </c>
      <c r="BK752" s="765">
        <v>280</v>
      </c>
      <c r="BL752" s="771">
        <v>710</v>
      </c>
    </row>
    <row r="753" spans="35:64" ht="14.5" customHeight="1" x14ac:dyDescent="0.35">
      <c r="AI753" s="795" t="s">
        <v>1461</v>
      </c>
      <c r="AJ753" s="786">
        <v>6820</v>
      </c>
      <c r="AK753" s="796">
        <v>204</v>
      </c>
      <c r="AL753" s="796">
        <v>11.3</v>
      </c>
      <c r="AM753" s="796">
        <v>207</v>
      </c>
      <c r="AN753" s="796">
        <v>11.3</v>
      </c>
      <c r="AO753" s="765" t="s">
        <v>1462</v>
      </c>
      <c r="AP753" s="765">
        <v>27</v>
      </c>
      <c r="AQ753" s="766">
        <v>21</v>
      </c>
      <c r="AR753" s="766">
        <v>12</v>
      </c>
      <c r="AS753" s="766">
        <v>42</v>
      </c>
      <c r="AT753" s="768">
        <v>62</v>
      </c>
      <c r="AU753" s="767">
        <v>12</v>
      </c>
      <c r="AV753" s="768">
        <v>21.4</v>
      </c>
      <c r="AW753" s="765">
        <v>87.5</v>
      </c>
      <c r="AX753" s="765">
        <v>711</v>
      </c>
      <c r="AY753" s="765">
        <v>128</v>
      </c>
      <c r="AZ753" s="765">
        <v>1210</v>
      </c>
      <c r="BA753" s="765">
        <v>52.6</v>
      </c>
      <c r="BB753" s="765">
        <v>344</v>
      </c>
      <c r="BC753" s="765">
        <v>72.599999999999994</v>
      </c>
      <c r="BD753" s="765">
        <v>525</v>
      </c>
      <c r="BE753" s="767">
        <v>0.46869445071090249</v>
      </c>
      <c r="BF753" s="767">
        <v>288</v>
      </c>
      <c r="BG753" s="765">
        <v>460</v>
      </c>
      <c r="BH753" s="765">
        <v>1090</v>
      </c>
      <c r="BI753" s="765">
        <v>22000</v>
      </c>
      <c r="BJ753" s="765">
        <v>18.5</v>
      </c>
      <c r="BK753" s="765">
        <v>234</v>
      </c>
      <c r="BL753" s="771">
        <v>590</v>
      </c>
    </row>
    <row r="754" spans="35:64" x14ac:dyDescent="0.3">
      <c r="AI754" s="797" t="s">
        <v>1463</v>
      </c>
      <c r="AJ754" s="798">
        <v>93200</v>
      </c>
      <c r="AK754" s="799">
        <v>2000</v>
      </c>
      <c r="AL754" s="799">
        <v>20</v>
      </c>
      <c r="AM754" s="799">
        <v>550</v>
      </c>
      <c r="AN754" s="799">
        <v>50</v>
      </c>
      <c r="AO754" s="765" t="s">
        <v>1464</v>
      </c>
      <c r="AP754" s="765">
        <v>31</v>
      </c>
      <c r="AQ754" s="766">
        <v>22</v>
      </c>
      <c r="AR754" s="766">
        <v>10</v>
      </c>
      <c r="AS754" s="800">
        <v>36</v>
      </c>
      <c r="AT754" s="796">
        <v>54</v>
      </c>
      <c r="AU754" s="796">
        <v>9.16</v>
      </c>
      <c r="AV754" s="796">
        <v>16.100000000000001</v>
      </c>
      <c r="AW754" s="796">
        <v>49.8</v>
      </c>
      <c r="AX754" s="796">
        <v>488</v>
      </c>
      <c r="AY754" s="765">
        <v>106</v>
      </c>
      <c r="AZ754" s="765">
        <v>1090</v>
      </c>
      <c r="BA754" s="765">
        <v>42.3</v>
      </c>
      <c r="BB754" s="765">
        <v>325</v>
      </c>
      <c r="BC754" s="765">
        <v>62.3</v>
      </c>
      <c r="BD754" s="765">
        <v>500</v>
      </c>
      <c r="BE754" s="767">
        <v>0.4066919435403093</v>
      </c>
      <c r="BF754" s="767">
        <v>239.6</v>
      </c>
      <c r="BG754" s="765">
        <v>829</v>
      </c>
      <c r="BH754" s="765">
        <v>606</v>
      </c>
      <c r="BI754" s="765">
        <v>15600</v>
      </c>
      <c r="BJ754" s="765">
        <v>14.6</v>
      </c>
      <c r="BK754" s="765">
        <v>212</v>
      </c>
      <c r="BL754" s="771">
        <v>540</v>
      </c>
    </row>
    <row r="755" spans="35:64" x14ac:dyDescent="0.3">
      <c r="AI755" s="801" t="s">
        <v>1465</v>
      </c>
      <c r="AJ755" s="802">
        <v>82600</v>
      </c>
      <c r="AK755" s="803">
        <v>2000</v>
      </c>
      <c r="AL755" s="803">
        <v>20</v>
      </c>
      <c r="AM755" s="803">
        <v>550</v>
      </c>
      <c r="AN755" s="803">
        <v>40</v>
      </c>
      <c r="AO755" s="765" t="s">
        <v>1466</v>
      </c>
      <c r="AP755" s="765">
        <v>27</v>
      </c>
      <c r="AQ755" s="766">
        <v>20</v>
      </c>
      <c r="AR755" s="766">
        <v>10</v>
      </c>
      <c r="AS755" s="804">
        <v>490</v>
      </c>
      <c r="AT755" s="799">
        <v>732</v>
      </c>
      <c r="AU755" s="799">
        <v>5.5</v>
      </c>
      <c r="AV755" s="799">
        <v>95</v>
      </c>
      <c r="AW755" s="799">
        <v>63900</v>
      </c>
      <c r="AX755" s="799">
        <v>63900</v>
      </c>
      <c r="AY755" s="765">
        <v>105</v>
      </c>
      <c r="AZ755" s="765">
        <v>792</v>
      </c>
      <c r="BA755" s="765">
        <v>30</v>
      </c>
      <c r="BB755" s="765">
        <v>234</v>
      </c>
      <c r="BC755" s="765">
        <v>61.3</v>
      </c>
      <c r="BD755" s="765">
        <v>358</v>
      </c>
      <c r="BE755" s="767">
        <v>0.39614806367997529</v>
      </c>
      <c r="BF755" s="767">
        <v>235.3</v>
      </c>
      <c r="BG755" s="765">
        <v>339</v>
      </c>
      <c r="BH755" s="765">
        <v>415</v>
      </c>
      <c r="BI755" s="765">
        <v>15100</v>
      </c>
      <c r="BJ755" s="765">
        <v>10.3</v>
      </c>
      <c r="BK755" s="765">
        <v>155</v>
      </c>
      <c r="BL755" s="771">
        <v>388</v>
      </c>
    </row>
    <row r="756" spans="35:64" x14ac:dyDescent="0.3">
      <c r="AI756" s="801" t="s">
        <v>1467</v>
      </c>
      <c r="AJ756" s="802">
        <v>77300</v>
      </c>
      <c r="AK756" s="803">
        <v>2000</v>
      </c>
      <c r="AL756" s="803">
        <v>20</v>
      </c>
      <c r="AM756" s="803">
        <v>550</v>
      </c>
      <c r="AN756" s="803">
        <v>35</v>
      </c>
      <c r="AO756" s="796" t="s">
        <v>1468</v>
      </c>
      <c r="AP756" s="796">
        <v>28</v>
      </c>
      <c r="AQ756" s="800">
        <v>21</v>
      </c>
      <c r="AR756" s="800">
        <v>8</v>
      </c>
      <c r="AS756" s="803">
        <v>436</v>
      </c>
      <c r="AT756" s="803">
        <v>648</v>
      </c>
      <c r="AU756" s="803">
        <v>6.88</v>
      </c>
      <c r="AV756" s="803">
        <v>96</v>
      </c>
      <c r="AW756" s="803">
        <v>54200</v>
      </c>
      <c r="AX756" s="803">
        <v>54200</v>
      </c>
      <c r="AY756" s="796">
        <v>85.5</v>
      </c>
      <c r="AZ756" s="796">
        <v>552</v>
      </c>
      <c r="BA756" s="796">
        <v>16.7</v>
      </c>
      <c r="BB756" s="796">
        <v>162</v>
      </c>
      <c r="BC756" s="796">
        <v>49.5</v>
      </c>
      <c r="BD756" s="796">
        <v>249</v>
      </c>
      <c r="BE756" s="796">
        <v>0.32288816831374939</v>
      </c>
      <c r="BF756" s="796">
        <v>192.7</v>
      </c>
      <c r="BG756" s="787">
        <v>321</v>
      </c>
      <c r="BH756" s="787">
        <v>155</v>
      </c>
      <c r="BI756" s="787">
        <v>9970</v>
      </c>
      <c r="BJ756" s="787">
        <v>5.83</v>
      </c>
      <c r="BK756" s="787">
        <v>107</v>
      </c>
      <c r="BL756" s="794">
        <v>272</v>
      </c>
    </row>
    <row r="757" spans="35:64" x14ac:dyDescent="0.3">
      <c r="AI757" s="801" t="s">
        <v>1469</v>
      </c>
      <c r="AJ757" s="802">
        <v>69000</v>
      </c>
      <c r="AK757" s="803">
        <v>2000</v>
      </c>
      <c r="AL757" s="803">
        <v>20</v>
      </c>
      <c r="AM757" s="803">
        <v>500</v>
      </c>
      <c r="AN757" s="803">
        <v>30</v>
      </c>
      <c r="AO757" s="799" t="s">
        <v>1470</v>
      </c>
      <c r="AP757" s="799">
        <v>61</v>
      </c>
      <c r="AQ757" s="804">
        <v>20</v>
      </c>
      <c r="AR757" s="804">
        <v>79</v>
      </c>
      <c r="AS757" s="803">
        <v>408</v>
      </c>
      <c r="AT757" s="803">
        <v>607</v>
      </c>
      <c r="AU757" s="803">
        <v>7.86</v>
      </c>
      <c r="AV757" s="803">
        <v>96.5</v>
      </c>
      <c r="AW757" s="803">
        <v>49300</v>
      </c>
      <c r="AX757" s="803">
        <v>49300</v>
      </c>
      <c r="AY757" s="799">
        <v>828</v>
      </c>
      <c r="AZ757" s="799">
        <v>71800</v>
      </c>
      <c r="BA757" s="799">
        <v>1390</v>
      </c>
      <c r="BB757" s="799">
        <v>5050</v>
      </c>
      <c r="BC757" s="799">
        <v>122</v>
      </c>
      <c r="BD757" s="799">
        <v>7750</v>
      </c>
      <c r="BE757" s="799">
        <v>0.81874140482537061</v>
      </c>
      <c r="BF757" s="799">
        <v>1950</v>
      </c>
      <c r="BG757" s="799">
        <v>50900</v>
      </c>
      <c r="BH757" s="799">
        <v>1320000</v>
      </c>
      <c r="BI757" s="799">
        <v>268000</v>
      </c>
      <c r="BJ757" s="799">
        <v>1840</v>
      </c>
      <c r="BK757" s="799">
        <v>12900</v>
      </c>
      <c r="BL757" s="805">
        <v>35800</v>
      </c>
    </row>
    <row r="758" spans="35:64" x14ac:dyDescent="0.3">
      <c r="AI758" s="801" t="s">
        <v>1471</v>
      </c>
      <c r="AJ758" s="802">
        <v>89200</v>
      </c>
      <c r="AK758" s="803">
        <v>1800</v>
      </c>
      <c r="AL758" s="803">
        <v>20</v>
      </c>
      <c r="AM758" s="803">
        <v>550</v>
      </c>
      <c r="AN758" s="803">
        <v>50</v>
      </c>
      <c r="AO758" s="803" t="s">
        <v>1472</v>
      </c>
      <c r="AP758" s="803">
        <v>51</v>
      </c>
      <c r="AQ758" s="806">
        <v>20</v>
      </c>
      <c r="AR758" s="806">
        <v>79</v>
      </c>
      <c r="AS758" s="806">
        <v>364</v>
      </c>
      <c r="AT758" s="803">
        <v>542</v>
      </c>
      <c r="AU758" s="803">
        <v>8.33</v>
      </c>
      <c r="AV758" s="803">
        <v>97</v>
      </c>
      <c r="AW758" s="803">
        <v>41400</v>
      </c>
      <c r="AX758" s="803">
        <v>41400</v>
      </c>
      <c r="AY758" s="803">
        <v>810</v>
      </c>
      <c r="AZ758" s="803">
        <v>61700</v>
      </c>
      <c r="BA758" s="803">
        <v>1110</v>
      </c>
      <c r="BB758" s="803">
        <v>4040</v>
      </c>
      <c r="BC758" s="803">
        <v>116</v>
      </c>
      <c r="BD758" s="803">
        <v>6240</v>
      </c>
      <c r="BE758" s="803">
        <v>0.79740149553078854</v>
      </c>
      <c r="BF758" s="803">
        <v>1960</v>
      </c>
      <c r="BG758" s="803">
        <v>28600</v>
      </c>
      <c r="BH758" s="803">
        <v>1070000</v>
      </c>
      <c r="BI758" s="803">
        <v>270000</v>
      </c>
      <c r="BJ758" s="803">
        <v>1480</v>
      </c>
      <c r="BK758" s="803">
        <v>10400</v>
      </c>
      <c r="BL758" s="807">
        <v>30800</v>
      </c>
    </row>
    <row r="759" spans="35:64" x14ac:dyDescent="0.3">
      <c r="AI759" s="801" t="s">
        <v>1473</v>
      </c>
      <c r="AJ759" s="802">
        <v>83900</v>
      </c>
      <c r="AK759" s="803">
        <v>1800</v>
      </c>
      <c r="AL759" s="803">
        <v>20</v>
      </c>
      <c r="AM759" s="803">
        <v>550</v>
      </c>
      <c r="AN759" s="803">
        <v>45</v>
      </c>
      <c r="AO759" s="803" t="s">
        <v>1474</v>
      </c>
      <c r="AP759" s="803">
        <v>46</v>
      </c>
      <c r="AQ759" s="806">
        <v>20</v>
      </c>
      <c r="AR759" s="806">
        <v>79</v>
      </c>
      <c r="AS759" s="806">
        <v>470</v>
      </c>
      <c r="AT759" s="803">
        <v>700</v>
      </c>
      <c r="AU759" s="803">
        <v>5.5</v>
      </c>
      <c r="AV759" s="803">
        <v>85</v>
      </c>
      <c r="AW759" s="803">
        <v>50400</v>
      </c>
      <c r="AX759" s="803">
        <v>56000</v>
      </c>
      <c r="AY759" s="803">
        <v>799</v>
      </c>
      <c r="AZ759" s="803">
        <v>56600</v>
      </c>
      <c r="BA759" s="803">
        <v>972</v>
      </c>
      <c r="BB759" s="803">
        <v>3530</v>
      </c>
      <c r="BC759" s="803">
        <v>112</v>
      </c>
      <c r="BD759" s="803">
        <v>5490</v>
      </c>
      <c r="BE759" s="803">
        <v>0.7826071587117831</v>
      </c>
      <c r="BF759" s="803">
        <v>1965</v>
      </c>
      <c r="BG759" s="803">
        <v>20900</v>
      </c>
      <c r="BH759" s="803">
        <v>938000</v>
      </c>
      <c r="BI759" s="803">
        <v>270000</v>
      </c>
      <c r="BJ759" s="803">
        <v>1300</v>
      </c>
      <c r="BK759" s="803">
        <v>9110</v>
      </c>
      <c r="BL759" s="807">
        <v>28200</v>
      </c>
    </row>
    <row r="760" spans="35:64" x14ac:dyDescent="0.3">
      <c r="AI760" s="801" t="s">
        <v>1475</v>
      </c>
      <c r="AJ760" s="802">
        <v>78600</v>
      </c>
      <c r="AK760" s="803">
        <v>1800</v>
      </c>
      <c r="AL760" s="803">
        <v>20</v>
      </c>
      <c r="AM760" s="803">
        <v>550</v>
      </c>
      <c r="AN760" s="803">
        <v>40</v>
      </c>
      <c r="AO760" s="803" t="s">
        <v>1476</v>
      </c>
      <c r="AP760" s="803">
        <v>41</v>
      </c>
      <c r="AQ760" s="806">
        <v>20</v>
      </c>
      <c r="AR760" s="806">
        <v>79</v>
      </c>
      <c r="AS760" s="806">
        <v>442</v>
      </c>
      <c r="AT760" s="803">
        <v>659</v>
      </c>
      <c r="AU760" s="803">
        <v>6.11</v>
      </c>
      <c r="AV760" s="803">
        <v>85.5</v>
      </c>
      <c r="AW760" s="803">
        <v>46600</v>
      </c>
      <c r="AX760" s="803">
        <v>51800</v>
      </c>
      <c r="AY760" s="803">
        <v>775</v>
      </c>
      <c r="AZ760" s="803">
        <v>48500</v>
      </c>
      <c r="BA760" s="803">
        <v>626</v>
      </c>
      <c r="BB760" s="803">
        <v>2510</v>
      </c>
      <c r="BC760" s="803">
        <v>95.3</v>
      </c>
      <c r="BD760" s="803">
        <v>3950</v>
      </c>
      <c r="BE760" s="803">
        <v>0.68646643569332155</v>
      </c>
      <c r="BF760" s="803">
        <v>1970</v>
      </c>
      <c r="BG760" s="803">
        <v>14200</v>
      </c>
      <c r="BH760" s="803">
        <v>608000</v>
      </c>
      <c r="BI760" s="803">
        <v>246000</v>
      </c>
      <c r="BJ760" s="803">
        <v>923</v>
      </c>
      <c r="BK760" s="803">
        <v>7090</v>
      </c>
      <c r="BL760" s="807">
        <v>24200</v>
      </c>
    </row>
    <row r="761" spans="35:64" x14ac:dyDescent="0.3">
      <c r="AI761" s="801" t="s">
        <v>1477</v>
      </c>
      <c r="AJ761" s="802">
        <v>73300</v>
      </c>
      <c r="AK761" s="803">
        <v>1800</v>
      </c>
      <c r="AL761" s="803">
        <v>20</v>
      </c>
      <c r="AM761" s="803">
        <v>550</v>
      </c>
      <c r="AN761" s="803">
        <v>35</v>
      </c>
      <c r="AO761" s="803" t="s">
        <v>1478</v>
      </c>
      <c r="AP761" s="803">
        <v>61</v>
      </c>
      <c r="AQ761" s="806">
        <v>20</v>
      </c>
      <c r="AR761" s="806">
        <v>71</v>
      </c>
      <c r="AS761" s="806">
        <v>415</v>
      </c>
      <c r="AT761" s="803">
        <v>617</v>
      </c>
      <c r="AU761" s="803">
        <v>6.88</v>
      </c>
      <c r="AV761" s="803">
        <v>86</v>
      </c>
      <c r="AW761" s="803">
        <v>42700</v>
      </c>
      <c r="AX761" s="803">
        <v>47400</v>
      </c>
      <c r="AY761" s="803">
        <v>752</v>
      </c>
      <c r="AZ761" s="803">
        <v>62700</v>
      </c>
      <c r="BA761" s="803">
        <v>1390</v>
      </c>
      <c r="BB761" s="803">
        <v>5050</v>
      </c>
      <c r="BC761" s="803">
        <v>125</v>
      </c>
      <c r="BD761" s="803">
        <v>7730</v>
      </c>
      <c r="BE761" s="803">
        <v>0.87269984364393005</v>
      </c>
      <c r="BF761" s="803">
        <v>1750</v>
      </c>
      <c r="BG761" s="803">
        <v>50400</v>
      </c>
      <c r="BH761" s="803">
        <v>1060000</v>
      </c>
      <c r="BI761" s="803">
        <v>241000</v>
      </c>
      <c r="BJ761" s="803">
        <v>1650</v>
      </c>
      <c r="BK761" s="803">
        <v>11600</v>
      </c>
      <c r="BL761" s="807">
        <v>31300</v>
      </c>
    </row>
    <row r="762" spans="35:64" x14ac:dyDescent="0.3">
      <c r="AI762" s="801" t="s">
        <v>1479</v>
      </c>
      <c r="AJ762" s="802">
        <v>65000</v>
      </c>
      <c r="AK762" s="803">
        <v>1800</v>
      </c>
      <c r="AL762" s="803">
        <v>20</v>
      </c>
      <c r="AM762" s="803">
        <v>500</v>
      </c>
      <c r="AN762" s="803">
        <v>30</v>
      </c>
      <c r="AO762" s="803" t="s">
        <v>1480</v>
      </c>
      <c r="AP762" s="803">
        <v>56</v>
      </c>
      <c r="AQ762" s="806">
        <v>20</v>
      </c>
      <c r="AR762" s="806">
        <v>71</v>
      </c>
      <c r="AS762" s="806">
        <v>388</v>
      </c>
      <c r="AT762" s="803">
        <v>575</v>
      </c>
      <c r="AU762" s="803">
        <v>7.86</v>
      </c>
      <c r="AV762" s="803">
        <v>86.5</v>
      </c>
      <c r="AW762" s="803">
        <v>38800</v>
      </c>
      <c r="AX762" s="803">
        <v>43100</v>
      </c>
      <c r="AY762" s="803">
        <v>745</v>
      </c>
      <c r="AZ762" s="803">
        <v>58200</v>
      </c>
      <c r="BA762" s="803">
        <v>1250</v>
      </c>
      <c r="BB762" s="803">
        <v>4540</v>
      </c>
      <c r="BC762" s="803">
        <v>122</v>
      </c>
      <c r="BD762" s="803">
        <v>6980</v>
      </c>
      <c r="BE762" s="803">
        <v>0.86263745895744282</v>
      </c>
      <c r="BF762" s="803">
        <v>1755</v>
      </c>
      <c r="BG762" s="803">
        <v>38000</v>
      </c>
      <c r="BH762" s="803">
        <v>962000</v>
      </c>
      <c r="BI762" s="803">
        <v>241000</v>
      </c>
      <c r="BJ762" s="803">
        <v>1490</v>
      </c>
      <c r="BK762" s="803">
        <v>10500</v>
      </c>
      <c r="BL762" s="807">
        <v>29000</v>
      </c>
    </row>
    <row r="763" spans="35:64" x14ac:dyDescent="0.3">
      <c r="AI763" s="801" t="s">
        <v>1481</v>
      </c>
      <c r="AJ763" s="802">
        <v>79200</v>
      </c>
      <c r="AK763" s="803">
        <v>1600</v>
      </c>
      <c r="AL763" s="803">
        <v>16</v>
      </c>
      <c r="AM763" s="803">
        <v>550</v>
      </c>
      <c r="AN763" s="803">
        <v>50</v>
      </c>
      <c r="AO763" s="803" t="s">
        <v>1482</v>
      </c>
      <c r="AP763" s="803">
        <v>51</v>
      </c>
      <c r="AQ763" s="806">
        <v>20</v>
      </c>
      <c r="AR763" s="806">
        <v>71</v>
      </c>
      <c r="AS763" s="806">
        <v>344</v>
      </c>
      <c r="AT763" s="803">
        <v>510</v>
      </c>
      <c r="AU763" s="803">
        <v>8.33</v>
      </c>
      <c r="AV763" s="803">
        <v>87</v>
      </c>
      <c r="AW763" s="803">
        <v>32400</v>
      </c>
      <c r="AX763" s="803">
        <v>36000</v>
      </c>
      <c r="AY763" s="803">
        <v>737</v>
      </c>
      <c r="AZ763" s="803">
        <v>53700</v>
      </c>
      <c r="BA763" s="803">
        <v>1110</v>
      </c>
      <c r="BB763" s="803">
        <v>4040</v>
      </c>
      <c r="BC763" s="803">
        <v>119</v>
      </c>
      <c r="BD763" s="803">
        <v>6220</v>
      </c>
      <c r="BE763" s="803">
        <v>0.85063141935260467</v>
      </c>
      <c r="BF763" s="803">
        <v>1760</v>
      </c>
      <c r="BG763" s="803">
        <v>28100</v>
      </c>
      <c r="BH763" s="803">
        <v>860000</v>
      </c>
      <c r="BI763" s="803">
        <v>242000</v>
      </c>
      <c r="BJ763" s="803">
        <v>1330</v>
      </c>
      <c r="BK763" s="803">
        <v>9330</v>
      </c>
      <c r="BL763" s="807">
        <v>26800</v>
      </c>
    </row>
    <row r="764" spans="35:64" x14ac:dyDescent="0.3">
      <c r="AI764" s="801" t="s">
        <v>1483</v>
      </c>
      <c r="AJ764" s="802">
        <v>73800</v>
      </c>
      <c r="AK764" s="803">
        <v>1600</v>
      </c>
      <c r="AL764" s="803">
        <v>16</v>
      </c>
      <c r="AM764" s="803">
        <v>550</v>
      </c>
      <c r="AN764" s="803">
        <v>45</v>
      </c>
      <c r="AO764" s="803" t="s">
        <v>1484</v>
      </c>
      <c r="AP764" s="803">
        <v>46</v>
      </c>
      <c r="AQ764" s="806">
        <v>20</v>
      </c>
      <c r="AR764" s="806">
        <v>71</v>
      </c>
      <c r="AS764" s="806">
        <v>419</v>
      </c>
      <c r="AT764" s="803">
        <v>622</v>
      </c>
      <c r="AU764" s="803">
        <v>5.5</v>
      </c>
      <c r="AV764" s="803">
        <v>93.8</v>
      </c>
      <c r="AW764" s="803">
        <v>37600</v>
      </c>
      <c r="AX764" s="803">
        <v>47100</v>
      </c>
      <c r="AY764" s="803">
        <v>727</v>
      </c>
      <c r="AZ764" s="803">
        <v>49100</v>
      </c>
      <c r="BA764" s="803">
        <v>972</v>
      </c>
      <c r="BB764" s="803">
        <v>3530</v>
      </c>
      <c r="BC764" s="803">
        <v>115</v>
      </c>
      <c r="BD764" s="803">
        <v>5470</v>
      </c>
      <c r="BE764" s="803">
        <v>0.83613166976051689</v>
      </c>
      <c r="BF764" s="803">
        <v>1765</v>
      </c>
      <c r="BG764" s="803">
        <v>20300</v>
      </c>
      <c r="BH764" s="803">
        <v>757000</v>
      </c>
      <c r="BI764" s="803">
        <v>243000</v>
      </c>
      <c r="BJ764" s="803">
        <v>1170</v>
      </c>
      <c r="BK764" s="803">
        <v>8190</v>
      </c>
      <c r="BL764" s="807">
        <v>24500</v>
      </c>
    </row>
    <row r="765" spans="35:64" x14ac:dyDescent="0.3">
      <c r="AI765" s="801" t="s">
        <v>1485</v>
      </c>
      <c r="AJ765" s="802">
        <v>68500</v>
      </c>
      <c r="AK765" s="803">
        <v>1600</v>
      </c>
      <c r="AL765" s="803">
        <v>16</v>
      </c>
      <c r="AM765" s="803">
        <v>550</v>
      </c>
      <c r="AN765" s="803">
        <v>40</v>
      </c>
      <c r="AO765" s="803" t="s">
        <v>1486</v>
      </c>
      <c r="AP765" s="803">
        <v>41</v>
      </c>
      <c r="AQ765" s="806">
        <v>20</v>
      </c>
      <c r="AR765" s="806">
        <v>71</v>
      </c>
      <c r="AS765" s="806">
        <v>388</v>
      </c>
      <c r="AT765" s="803">
        <v>580</v>
      </c>
      <c r="AU765" s="803">
        <v>6.11</v>
      </c>
      <c r="AV765" s="803">
        <v>94.4</v>
      </c>
      <c r="AW765" s="803">
        <v>34600</v>
      </c>
      <c r="AX765" s="803">
        <v>43300</v>
      </c>
      <c r="AY765" s="803">
        <v>706</v>
      </c>
      <c r="AZ765" s="803">
        <v>41800</v>
      </c>
      <c r="BA765" s="803">
        <v>626</v>
      </c>
      <c r="BB765" s="803">
        <v>2500</v>
      </c>
      <c r="BC765" s="803">
        <v>98.2</v>
      </c>
      <c r="BD765" s="803">
        <v>3930</v>
      </c>
      <c r="BE765" s="803">
        <v>0.735224715889083</v>
      </c>
      <c r="BF765" s="803">
        <v>1770</v>
      </c>
      <c r="BG765" s="803">
        <v>13600</v>
      </c>
      <c r="BH765" s="803">
        <v>490000</v>
      </c>
      <c r="BI765" s="803">
        <v>221000</v>
      </c>
      <c r="BJ765" s="803">
        <v>830</v>
      </c>
      <c r="BK765" s="803">
        <v>6370</v>
      </c>
      <c r="BL765" s="807">
        <v>20800</v>
      </c>
    </row>
    <row r="766" spans="35:64" x14ac:dyDescent="0.3">
      <c r="AI766" s="801" t="s">
        <v>1487</v>
      </c>
      <c r="AJ766" s="802">
        <v>63100</v>
      </c>
      <c r="AK766" s="803">
        <v>1600</v>
      </c>
      <c r="AL766" s="803">
        <v>16</v>
      </c>
      <c r="AM766" s="803">
        <v>550</v>
      </c>
      <c r="AN766" s="803">
        <v>35</v>
      </c>
      <c r="AO766" s="803" t="s">
        <v>1488</v>
      </c>
      <c r="AP766" s="803">
        <v>61</v>
      </c>
      <c r="AQ766" s="806">
        <v>18</v>
      </c>
      <c r="AR766" s="806">
        <v>63</v>
      </c>
      <c r="AS766" s="806">
        <v>361</v>
      </c>
      <c r="AT766" s="803">
        <v>538</v>
      </c>
      <c r="AU766" s="803">
        <v>6.88</v>
      </c>
      <c r="AV766" s="803">
        <v>95</v>
      </c>
      <c r="AW766" s="803">
        <v>31600</v>
      </c>
      <c r="AX766" s="803">
        <v>39500</v>
      </c>
      <c r="AY766" s="803">
        <v>690</v>
      </c>
      <c r="AZ766" s="803">
        <v>51800</v>
      </c>
      <c r="BA766" s="803">
        <v>1390</v>
      </c>
      <c r="BB766" s="803">
        <v>5040</v>
      </c>
      <c r="BC766" s="803">
        <v>132</v>
      </c>
      <c r="BD766" s="803">
        <v>7660</v>
      </c>
      <c r="BE766" s="803">
        <v>0.95130773495581888</v>
      </c>
      <c r="BF766" s="803">
        <v>1550</v>
      </c>
      <c r="BG766" s="803">
        <v>47900</v>
      </c>
      <c r="BH766" s="803">
        <v>833000</v>
      </c>
      <c r="BI766" s="803">
        <v>213000</v>
      </c>
      <c r="BJ766" s="803">
        <v>1470</v>
      </c>
      <c r="BK766" s="803">
        <v>10300</v>
      </c>
      <c r="BL766" s="807">
        <v>25800</v>
      </c>
    </row>
    <row r="767" spans="35:64" x14ac:dyDescent="0.3">
      <c r="AI767" s="801" t="s">
        <v>1489</v>
      </c>
      <c r="AJ767" s="802">
        <v>54800</v>
      </c>
      <c r="AK767" s="803">
        <v>1600</v>
      </c>
      <c r="AL767" s="803">
        <v>16</v>
      </c>
      <c r="AM767" s="803">
        <v>500</v>
      </c>
      <c r="AN767" s="803">
        <v>30</v>
      </c>
      <c r="AO767" s="803" t="s">
        <v>1490</v>
      </c>
      <c r="AP767" s="803">
        <v>56</v>
      </c>
      <c r="AQ767" s="806">
        <v>18</v>
      </c>
      <c r="AR767" s="806">
        <v>63</v>
      </c>
      <c r="AS767" s="806">
        <v>333</v>
      </c>
      <c r="AT767" s="803">
        <v>496</v>
      </c>
      <c r="AU767" s="803">
        <v>7.86</v>
      </c>
      <c r="AV767" s="803">
        <v>95.6</v>
      </c>
      <c r="AW767" s="803">
        <v>28400</v>
      </c>
      <c r="AX767" s="803">
        <v>35500</v>
      </c>
      <c r="AY767" s="803">
        <v>685</v>
      </c>
      <c r="AZ767" s="803">
        <v>47700</v>
      </c>
      <c r="BA767" s="803">
        <v>1250</v>
      </c>
      <c r="BB767" s="803">
        <v>4540</v>
      </c>
      <c r="BC767" s="803">
        <v>130</v>
      </c>
      <c r="BD767" s="803">
        <v>6900</v>
      </c>
      <c r="BE767" s="803">
        <v>0.94227179538392647</v>
      </c>
      <c r="BF767" s="803">
        <v>1555</v>
      </c>
      <c r="BG767" s="803">
        <v>35500</v>
      </c>
      <c r="BH767" s="803">
        <v>755000</v>
      </c>
      <c r="BI767" s="803">
        <v>214000</v>
      </c>
      <c r="BJ767" s="803">
        <v>1320</v>
      </c>
      <c r="BK767" s="803">
        <v>9340</v>
      </c>
      <c r="BL767" s="807">
        <v>23800</v>
      </c>
    </row>
    <row r="768" spans="35:64" x14ac:dyDescent="0.3">
      <c r="AI768" s="801" t="s">
        <v>1491</v>
      </c>
      <c r="AJ768" s="802">
        <v>76000</v>
      </c>
      <c r="AK768" s="803">
        <v>1400</v>
      </c>
      <c r="AL768" s="803">
        <v>16</v>
      </c>
      <c r="AM768" s="803">
        <v>550</v>
      </c>
      <c r="AN768" s="803">
        <v>50</v>
      </c>
      <c r="AO768" s="803" t="s">
        <v>1492</v>
      </c>
      <c r="AP768" s="803">
        <v>51</v>
      </c>
      <c r="AQ768" s="806">
        <v>18</v>
      </c>
      <c r="AR768" s="806">
        <v>63</v>
      </c>
      <c r="AS768" s="806">
        <v>289</v>
      </c>
      <c r="AT768" s="803">
        <v>431</v>
      </c>
      <c r="AU768" s="803">
        <v>8.33</v>
      </c>
      <c r="AV768" s="803">
        <v>96.3</v>
      </c>
      <c r="AW768" s="803">
        <v>23400</v>
      </c>
      <c r="AX768" s="803">
        <v>29300</v>
      </c>
      <c r="AY768" s="803">
        <v>679</v>
      </c>
      <c r="AZ768" s="803">
        <v>43700</v>
      </c>
      <c r="BA768" s="803">
        <v>1110</v>
      </c>
      <c r="BB768" s="803">
        <v>4040</v>
      </c>
      <c r="BC768" s="803">
        <v>127</v>
      </c>
      <c r="BD768" s="803">
        <v>6150</v>
      </c>
      <c r="BE768" s="803">
        <v>0.93070735632210855</v>
      </c>
      <c r="BF768" s="803">
        <v>1560</v>
      </c>
      <c r="BG768" s="803">
        <v>25500</v>
      </c>
      <c r="BH768" s="803">
        <v>675000</v>
      </c>
      <c r="BI768" s="803">
        <v>215000</v>
      </c>
      <c r="BJ768" s="803">
        <v>1180</v>
      </c>
      <c r="BK768" s="803">
        <v>8330</v>
      </c>
      <c r="BL768" s="807">
        <v>21800</v>
      </c>
    </row>
    <row r="769" spans="35:64" x14ac:dyDescent="0.3">
      <c r="AI769" s="801" t="s">
        <v>1493</v>
      </c>
      <c r="AJ769" s="802">
        <v>65300</v>
      </c>
      <c r="AK769" s="803">
        <v>1400</v>
      </c>
      <c r="AL769" s="803">
        <v>16</v>
      </c>
      <c r="AM769" s="803">
        <v>550</v>
      </c>
      <c r="AN769" s="803">
        <v>40</v>
      </c>
      <c r="AO769" s="803" t="s">
        <v>1494</v>
      </c>
      <c r="AP769" s="803">
        <v>44</v>
      </c>
      <c r="AQ769" s="806">
        <v>16</v>
      </c>
      <c r="AR769" s="806">
        <v>63</v>
      </c>
      <c r="AS769" s="806">
        <v>402</v>
      </c>
      <c r="AT769" s="803">
        <v>597</v>
      </c>
      <c r="AU769" s="803">
        <v>5.5</v>
      </c>
      <c r="AV769" s="803">
        <v>81.3</v>
      </c>
      <c r="AW769" s="803">
        <v>28100</v>
      </c>
      <c r="AX769" s="803">
        <v>40100</v>
      </c>
      <c r="AY769" s="803">
        <v>671</v>
      </c>
      <c r="AZ769" s="803">
        <v>39600</v>
      </c>
      <c r="BA769" s="803">
        <v>971</v>
      </c>
      <c r="BB769" s="803">
        <v>3530</v>
      </c>
      <c r="BC769" s="803">
        <v>124</v>
      </c>
      <c r="BD769" s="803">
        <v>5390</v>
      </c>
      <c r="BE769" s="803">
        <v>0.91997257067254501</v>
      </c>
      <c r="BF769" s="803">
        <v>1565</v>
      </c>
      <c r="BG769" s="803">
        <v>17800</v>
      </c>
      <c r="BH769" s="803">
        <v>595000</v>
      </c>
      <c r="BI769" s="803">
        <v>215000</v>
      </c>
      <c r="BJ769" s="803">
        <v>1040</v>
      </c>
      <c r="BK769" s="803">
        <v>7310</v>
      </c>
      <c r="BL769" s="807">
        <v>19700</v>
      </c>
    </row>
    <row r="770" spans="35:64" x14ac:dyDescent="0.3">
      <c r="AI770" s="801" t="s">
        <v>1495</v>
      </c>
      <c r="AJ770" s="802">
        <v>59900</v>
      </c>
      <c r="AK770" s="803">
        <v>1400</v>
      </c>
      <c r="AL770" s="803">
        <v>16</v>
      </c>
      <c r="AM770" s="803">
        <v>550</v>
      </c>
      <c r="AN770" s="803">
        <v>35</v>
      </c>
      <c r="AO770" s="803" t="s">
        <v>1496</v>
      </c>
      <c r="AP770" s="803">
        <v>39</v>
      </c>
      <c r="AQ770" s="806">
        <v>16</v>
      </c>
      <c r="AR770" s="806">
        <v>63</v>
      </c>
      <c r="AS770" s="806">
        <v>344</v>
      </c>
      <c r="AT770" s="803">
        <v>513</v>
      </c>
      <c r="AU770" s="803">
        <v>6.88</v>
      </c>
      <c r="AV770" s="803">
        <v>82.5</v>
      </c>
      <c r="AW770" s="803">
        <v>23500</v>
      </c>
      <c r="AX770" s="803">
        <v>33600</v>
      </c>
      <c r="AY770" s="803">
        <v>654</v>
      </c>
      <c r="AZ770" s="803">
        <v>33100</v>
      </c>
      <c r="BA770" s="803">
        <v>626</v>
      </c>
      <c r="BB770" s="803">
        <v>2500</v>
      </c>
      <c r="BC770" s="803">
        <v>107</v>
      </c>
      <c r="BD770" s="803">
        <v>3850</v>
      </c>
      <c r="BE770" s="803">
        <v>0.8145182827651215</v>
      </c>
      <c r="BF770" s="803">
        <v>1570</v>
      </c>
      <c r="BG770" s="803">
        <v>11100</v>
      </c>
      <c r="BH770" s="803">
        <v>385000</v>
      </c>
      <c r="BI770" s="803">
        <v>196000</v>
      </c>
      <c r="BJ770" s="803">
        <v>736</v>
      </c>
      <c r="BK770" s="803">
        <v>5700</v>
      </c>
      <c r="BL770" s="807">
        <v>16500</v>
      </c>
    </row>
    <row r="771" spans="35:64" x14ac:dyDescent="0.3">
      <c r="AI771" s="801" t="s">
        <v>1497</v>
      </c>
      <c r="AJ771" s="802">
        <v>51600</v>
      </c>
      <c r="AK771" s="803">
        <v>1400</v>
      </c>
      <c r="AL771" s="803">
        <v>16</v>
      </c>
      <c r="AM771" s="803">
        <v>500</v>
      </c>
      <c r="AN771" s="803">
        <v>30</v>
      </c>
      <c r="AO771" s="803" t="s">
        <v>1498</v>
      </c>
      <c r="AP771" s="803">
        <v>61</v>
      </c>
      <c r="AQ771" s="806">
        <v>18</v>
      </c>
      <c r="AR771" s="806">
        <v>55</v>
      </c>
      <c r="AS771" s="806">
        <v>316</v>
      </c>
      <c r="AT771" s="803">
        <v>471</v>
      </c>
      <c r="AU771" s="803">
        <v>7.86</v>
      </c>
      <c r="AV771" s="803">
        <v>83.1</v>
      </c>
      <c r="AW771" s="803">
        <v>21100</v>
      </c>
      <c r="AX771" s="803">
        <v>30200</v>
      </c>
      <c r="AY771" s="803">
        <v>608</v>
      </c>
      <c r="AZ771" s="803">
        <v>44000</v>
      </c>
      <c r="BA771" s="803">
        <v>1390</v>
      </c>
      <c r="BB771" s="803">
        <v>5040</v>
      </c>
      <c r="BC771" s="803">
        <v>135</v>
      </c>
      <c r="BD771" s="803">
        <v>7650</v>
      </c>
      <c r="BE771" s="803">
        <v>1.0270221487324891</v>
      </c>
      <c r="BF771" s="803">
        <v>1350</v>
      </c>
      <c r="BG771" s="803">
        <v>47600</v>
      </c>
      <c r="BH771" s="803">
        <v>632000</v>
      </c>
      <c r="BI771" s="803">
        <v>186000</v>
      </c>
      <c r="BJ771" s="803">
        <v>1280</v>
      </c>
      <c r="BK771" s="803">
        <v>9010</v>
      </c>
      <c r="BL771" s="807">
        <v>21900</v>
      </c>
    </row>
    <row r="772" spans="35:64" x14ac:dyDescent="0.3">
      <c r="AI772" s="801" t="s">
        <v>1499</v>
      </c>
      <c r="AJ772" s="802">
        <v>45600</v>
      </c>
      <c r="AK772" s="803">
        <v>1400</v>
      </c>
      <c r="AL772" s="803">
        <v>16</v>
      </c>
      <c r="AM772" s="803">
        <v>400</v>
      </c>
      <c r="AN772" s="803">
        <v>30</v>
      </c>
      <c r="AO772" s="803" t="s">
        <v>1500</v>
      </c>
      <c r="AP772" s="803">
        <v>51</v>
      </c>
      <c r="AQ772" s="806">
        <v>18</v>
      </c>
      <c r="AR772" s="806">
        <v>55</v>
      </c>
      <c r="AS772" s="806">
        <v>272</v>
      </c>
      <c r="AT772" s="803">
        <v>405</v>
      </c>
      <c r="AU772" s="803">
        <v>8.33</v>
      </c>
      <c r="AV772" s="803">
        <v>83.8</v>
      </c>
      <c r="AW772" s="803">
        <v>17300</v>
      </c>
      <c r="AX772" s="803">
        <v>24800</v>
      </c>
      <c r="AY772" s="803">
        <v>600</v>
      </c>
      <c r="AZ772" s="803">
        <v>37000</v>
      </c>
      <c r="BA772" s="803">
        <v>1110</v>
      </c>
      <c r="BB772" s="803">
        <v>4040</v>
      </c>
      <c r="BC772" s="803">
        <v>130</v>
      </c>
      <c r="BD772" s="803">
        <v>6140</v>
      </c>
      <c r="BE772" s="803">
        <v>1.007688157825543</v>
      </c>
      <c r="BF772" s="803">
        <v>1360</v>
      </c>
      <c r="BG772" s="803">
        <v>25300</v>
      </c>
      <c r="BH772" s="803">
        <v>513000</v>
      </c>
      <c r="BI772" s="803">
        <v>187000</v>
      </c>
      <c r="BJ772" s="803">
        <v>1030</v>
      </c>
      <c r="BK772" s="803">
        <v>7260</v>
      </c>
      <c r="BL772" s="807">
        <v>18400</v>
      </c>
    </row>
    <row r="773" spans="35:64" x14ac:dyDescent="0.3">
      <c r="AI773" s="801" t="s">
        <v>1501</v>
      </c>
      <c r="AJ773" s="802">
        <v>62100</v>
      </c>
      <c r="AK773" s="803">
        <v>1200</v>
      </c>
      <c r="AL773" s="803">
        <v>16</v>
      </c>
      <c r="AM773" s="803">
        <v>550</v>
      </c>
      <c r="AN773" s="803">
        <v>40</v>
      </c>
      <c r="AO773" s="803" t="s">
        <v>1502</v>
      </c>
      <c r="AP773" s="803">
        <v>44</v>
      </c>
      <c r="AQ773" s="806">
        <v>16</v>
      </c>
      <c r="AR773" s="806">
        <v>55</v>
      </c>
      <c r="AS773" s="806">
        <v>240</v>
      </c>
      <c r="AT773" s="803">
        <v>358</v>
      </c>
      <c r="AU773" s="803">
        <v>6.67</v>
      </c>
      <c r="AV773" s="803">
        <v>83.8</v>
      </c>
      <c r="AW773" s="803">
        <v>14500</v>
      </c>
      <c r="AX773" s="803">
        <v>20800</v>
      </c>
      <c r="AY773" s="803">
        <v>594</v>
      </c>
      <c r="AZ773" s="803">
        <v>33400</v>
      </c>
      <c r="BA773" s="803">
        <v>971</v>
      </c>
      <c r="BB773" s="803">
        <v>3530</v>
      </c>
      <c r="BC773" s="803">
        <v>127</v>
      </c>
      <c r="BD773" s="803">
        <v>5380</v>
      </c>
      <c r="BE773" s="803">
        <v>0.99643319824799814</v>
      </c>
      <c r="BF773" s="803">
        <v>1365</v>
      </c>
      <c r="BG773" s="803">
        <v>17500</v>
      </c>
      <c r="BH773" s="803">
        <v>452000</v>
      </c>
      <c r="BI773" s="803">
        <v>188000</v>
      </c>
      <c r="BJ773" s="803">
        <v>903</v>
      </c>
      <c r="BK773" s="803">
        <v>6380</v>
      </c>
      <c r="BL773" s="807">
        <v>16700</v>
      </c>
    </row>
    <row r="774" spans="35:64" x14ac:dyDescent="0.3">
      <c r="AI774" s="801" t="s">
        <v>1503</v>
      </c>
      <c r="AJ774" s="802">
        <v>53200</v>
      </c>
      <c r="AK774" s="803">
        <v>1200</v>
      </c>
      <c r="AL774" s="803">
        <v>16</v>
      </c>
      <c r="AM774" s="803">
        <v>500</v>
      </c>
      <c r="AN774" s="803">
        <v>35</v>
      </c>
      <c r="AO774" s="803" t="s">
        <v>1504</v>
      </c>
      <c r="AP774" s="803">
        <v>39</v>
      </c>
      <c r="AQ774" s="806">
        <v>16</v>
      </c>
      <c r="AR774" s="806">
        <v>55</v>
      </c>
      <c r="AS774" s="806">
        <v>326</v>
      </c>
      <c r="AT774" s="803">
        <v>487</v>
      </c>
      <c r="AU774" s="803">
        <v>6.88</v>
      </c>
      <c r="AV774" s="803">
        <v>70</v>
      </c>
      <c r="AW774" s="803">
        <v>16700</v>
      </c>
      <c r="AX774" s="803">
        <v>27900</v>
      </c>
      <c r="AY774" s="803">
        <v>580</v>
      </c>
      <c r="AZ774" s="803">
        <v>27800</v>
      </c>
      <c r="BA774" s="803">
        <v>625</v>
      </c>
      <c r="BB774" s="803">
        <v>2500</v>
      </c>
      <c r="BC774" s="803">
        <v>110</v>
      </c>
      <c r="BD774" s="803">
        <v>3840</v>
      </c>
      <c r="BE774" s="803">
        <v>0.88443079904974276</v>
      </c>
      <c r="BF774" s="803">
        <v>1370</v>
      </c>
      <c r="BG774" s="803">
        <v>10800</v>
      </c>
      <c r="BH774" s="803">
        <v>293000</v>
      </c>
      <c r="BI774" s="803">
        <v>171000</v>
      </c>
      <c r="BJ774" s="803">
        <v>642</v>
      </c>
      <c r="BK774" s="803">
        <v>4970</v>
      </c>
      <c r="BL774" s="807">
        <v>13900</v>
      </c>
    </row>
    <row r="775" spans="35:64" x14ac:dyDescent="0.3">
      <c r="AI775" s="801" t="s">
        <v>1505</v>
      </c>
      <c r="AJ775" s="802">
        <v>48400</v>
      </c>
      <c r="AK775" s="803">
        <v>1200</v>
      </c>
      <c r="AL775" s="803">
        <v>16</v>
      </c>
      <c r="AM775" s="803">
        <v>500</v>
      </c>
      <c r="AN775" s="803">
        <v>30</v>
      </c>
      <c r="AO775" s="803" t="s">
        <v>1506</v>
      </c>
      <c r="AP775" s="803">
        <v>39</v>
      </c>
      <c r="AQ775" s="806">
        <v>16</v>
      </c>
      <c r="AR775" s="806">
        <v>55</v>
      </c>
      <c r="AS775" s="806">
        <v>281</v>
      </c>
      <c r="AT775" s="803">
        <v>418</v>
      </c>
      <c r="AU775" s="803">
        <v>7.14</v>
      </c>
      <c r="AV775" s="803">
        <v>70.599999999999994</v>
      </c>
      <c r="AW775" s="803">
        <v>13800</v>
      </c>
      <c r="AX775" s="803">
        <v>23100</v>
      </c>
      <c r="AY775" s="803">
        <v>565</v>
      </c>
      <c r="AZ775" s="803">
        <v>23700</v>
      </c>
      <c r="BA775" s="803">
        <v>320</v>
      </c>
      <c r="BB775" s="803">
        <v>1600</v>
      </c>
      <c r="BC775" s="803">
        <v>83.9</v>
      </c>
      <c r="BD775" s="803">
        <v>2490</v>
      </c>
      <c r="BE775" s="803">
        <v>0.69123593608068834</v>
      </c>
      <c r="BF775" s="803">
        <v>1370</v>
      </c>
      <c r="BG775" s="803">
        <v>9030</v>
      </c>
      <c r="BH775" s="803">
        <v>150000</v>
      </c>
      <c r="BI775" s="803">
        <v>137000</v>
      </c>
      <c r="BJ775" s="803">
        <v>411</v>
      </c>
      <c r="BK775" s="803">
        <v>3950</v>
      </c>
      <c r="BL775" s="807">
        <v>11800</v>
      </c>
    </row>
    <row r="776" spans="35:64" x14ac:dyDescent="0.3">
      <c r="AI776" s="801" t="s">
        <v>1507</v>
      </c>
      <c r="AJ776" s="802">
        <v>42400</v>
      </c>
      <c r="AK776" s="803">
        <v>1200</v>
      </c>
      <c r="AL776" s="803">
        <v>16</v>
      </c>
      <c r="AM776" s="803">
        <v>400</v>
      </c>
      <c r="AN776" s="803">
        <v>30</v>
      </c>
      <c r="AO776" s="803" t="s">
        <v>1508</v>
      </c>
      <c r="AP776" s="803">
        <v>51</v>
      </c>
      <c r="AQ776" s="806">
        <v>18</v>
      </c>
      <c r="AR776" s="806">
        <v>47</v>
      </c>
      <c r="AS776" s="806">
        <v>255</v>
      </c>
      <c r="AT776" s="803">
        <v>380</v>
      </c>
      <c r="AU776" s="803">
        <v>8.33</v>
      </c>
      <c r="AV776" s="803">
        <v>71.3</v>
      </c>
      <c r="AW776" s="803">
        <v>12300</v>
      </c>
      <c r="AX776" s="803">
        <v>20500</v>
      </c>
      <c r="AY776" s="803">
        <v>519</v>
      </c>
      <c r="AZ776" s="803">
        <v>30600</v>
      </c>
      <c r="BA776" s="803">
        <v>1110</v>
      </c>
      <c r="BB776" s="803">
        <v>4030</v>
      </c>
      <c r="BC776" s="803">
        <v>134</v>
      </c>
      <c r="BD776" s="803">
        <v>6120</v>
      </c>
      <c r="BE776" s="803">
        <v>1.103823706575336</v>
      </c>
      <c r="BF776" s="803">
        <v>1160</v>
      </c>
      <c r="BG776" s="803">
        <v>25000</v>
      </c>
      <c r="BH776" s="803">
        <v>373000</v>
      </c>
      <c r="BI776" s="803">
        <v>160000</v>
      </c>
      <c r="BJ776" s="803">
        <v>877</v>
      </c>
      <c r="BK776" s="803">
        <v>6190</v>
      </c>
      <c r="BL776" s="807">
        <v>15300</v>
      </c>
    </row>
    <row r="777" spans="35:64" x14ac:dyDescent="0.3">
      <c r="AI777" s="801" t="s">
        <v>1509</v>
      </c>
      <c r="AJ777" s="802">
        <v>38500</v>
      </c>
      <c r="AK777" s="803">
        <v>1200</v>
      </c>
      <c r="AL777" s="803">
        <v>16</v>
      </c>
      <c r="AM777" s="803">
        <v>400</v>
      </c>
      <c r="AN777" s="803">
        <v>25</v>
      </c>
      <c r="AO777" s="803" t="s">
        <v>1510</v>
      </c>
      <c r="AP777" s="803">
        <v>44</v>
      </c>
      <c r="AQ777" s="806">
        <v>16</v>
      </c>
      <c r="AR777" s="806">
        <v>47</v>
      </c>
      <c r="AS777" s="806">
        <v>224</v>
      </c>
      <c r="AT777" s="803">
        <v>333</v>
      </c>
      <c r="AU777" s="803">
        <v>6.67</v>
      </c>
      <c r="AV777" s="803">
        <v>71.3</v>
      </c>
      <c r="AW777" s="803">
        <v>10200</v>
      </c>
      <c r="AX777" s="803">
        <v>17100</v>
      </c>
      <c r="AY777" s="803">
        <v>510</v>
      </c>
      <c r="AZ777" s="803">
        <v>25600</v>
      </c>
      <c r="BA777" s="803">
        <v>730</v>
      </c>
      <c r="BB777" s="803">
        <v>2920</v>
      </c>
      <c r="BC777" s="803">
        <v>117</v>
      </c>
      <c r="BD777" s="803">
        <v>4450</v>
      </c>
      <c r="BE777" s="803">
        <v>0.98742493947873777</v>
      </c>
      <c r="BF777" s="803">
        <v>1165</v>
      </c>
      <c r="BG777" s="803">
        <v>15800</v>
      </c>
      <c r="BH777" s="803">
        <v>248000</v>
      </c>
      <c r="BI777" s="803">
        <v>146000</v>
      </c>
      <c r="BJ777" s="803">
        <v>637</v>
      </c>
      <c r="BK777" s="803">
        <v>4930</v>
      </c>
      <c r="BL777" s="807">
        <v>12700</v>
      </c>
    </row>
    <row r="778" spans="35:64" x14ac:dyDescent="0.3">
      <c r="AI778" s="801" t="s">
        <v>1511</v>
      </c>
      <c r="AJ778" s="802">
        <v>33500</v>
      </c>
      <c r="AK778" s="803">
        <v>1200</v>
      </c>
      <c r="AL778" s="803">
        <v>16</v>
      </c>
      <c r="AM778" s="803">
        <v>300</v>
      </c>
      <c r="AN778" s="803">
        <v>25</v>
      </c>
      <c r="AO778" s="803" t="s">
        <v>1512</v>
      </c>
      <c r="AP778" s="803">
        <v>39</v>
      </c>
      <c r="AQ778" s="806">
        <v>16</v>
      </c>
      <c r="AR778" s="806">
        <v>47</v>
      </c>
      <c r="AS778" s="806">
        <v>203</v>
      </c>
      <c r="AT778" s="803">
        <v>302</v>
      </c>
      <c r="AU778" s="803">
        <v>8</v>
      </c>
      <c r="AV778" s="803">
        <v>71.900000000000006</v>
      </c>
      <c r="AW778" s="803">
        <v>8970</v>
      </c>
      <c r="AX778" s="803">
        <v>15000</v>
      </c>
      <c r="AY778" s="803">
        <v>504</v>
      </c>
      <c r="AZ778" s="803">
        <v>22800</v>
      </c>
      <c r="BA778" s="803">
        <v>625</v>
      </c>
      <c r="BB778" s="803">
        <v>2500</v>
      </c>
      <c r="BC778" s="803">
        <v>114</v>
      </c>
      <c r="BD778" s="803">
        <v>3820</v>
      </c>
      <c r="BE778" s="803">
        <v>0.96966315105916134</v>
      </c>
      <c r="BF778" s="803">
        <v>1170</v>
      </c>
      <c r="BG778" s="803">
        <v>10600</v>
      </c>
      <c r="BH778" s="803">
        <v>214000</v>
      </c>
      <c r="BI778" s="803">
        <v>146000</v>
      </c>
      <c r="BJ778" s="803">
        <v>548</v>
      </c>
      <c r="BK778" s="803">
        <v>4250</v>
      </c>
      <c r="BL778" s="807">
        <v>11400</v>
      </c>
    </row>
    <row r="779" spans="35:64" x14ac:dyDescent="0.3">
      <c r="AI779" s="801" t="s">
        <v>1513</v>
      </c>
      <c r="AJ779" s="802">
        <v>58500</v>
      </c>
      <c r="AK779" s="803">
        <v>1100</v>
      </c>
      <c r="AL779" s="803">
        <v>14</v>
      </c>
      <c r="AM779" s="803">
        <v>550</v>
      </c>
      <c r="AN779" s="803">
        <v>40</v>
      </c>
      <c r="AO779" s="803" t="s">
        <v>1514</v>
      </c>
      <c r="AP779" s="803">
        <v>39</v>
      </c>
      <c r="AQ779" s="806">
        <v>16</v>
      </c>
      <c r="AR779" s="806">
        <v>47</v>
      </c>
      <c r="AS779" s="806">
        <v>176</v>
      </c>
      <c r="AT779" s="803">
        <v>263</v>
      </c>
      <c r="AU779" s="803">
        <v>6</v>
      </c>
      <c r="AV779" s="803">
        <v>71.900000000000006</v>
      </c>
      <c r="AW779" s="803">
        <v>7250</v>
      </c>
      <c r="AX779" s="803">
        <v>12100</v>
      </c>
      <c r="AY779" s="803">
        <v>491</v>
      </c>
      <c r="AZ779" s="803">
        <v>19300</v>
      </c>
      <c r="BA779" s="803">
        <v>320</v>
      </c>
      <c r="BB779" s="803">
        <v>1600</v>
      </c>
      <c r="BC779" s="803">
        <v>87</v>
      </c>
      <c r="BD779" s="803">
        <v>2470</v>
      </c>
      <c r="BE779" s="803">
        <v>0.76266809716866713</v>
      </c>
      <c r="BF779" s="803">
        <v>1170</v>
      </c>
      <c r="BG779" s="803">
        <v>8760</v>
      </c>
      <c r="BH779" s="803">
        <v>110000</v>
      </c>
      <c r="BI779" s="803">
        <v>117000</v>
      </c>
      <c r="BJ779" s="803">
        <v>351</v>
      </c>
      <c r="BK779" s="803">
        <v>3370</v>
      </c>
      <c r="BL779" s="807">
        <v>9620</v>
      </c>
    </row>
    <row r="780" spans="35:64" x14ac:dyDescent="0.3">
      <c r="AI780" s="801" t="s">
        <v>1515</v>
      </c>
      <c r="AJ780" s="802">
        <v>49500</v>
      </c>
      <c r="AK780" s="803">
        <v>1100</v>
      </c>
      <c r="AL780" s="803">
        <v>14</v>
      </c>
      <c r="AM780" s="803">
        <v>500</v>
      </c>
      <c r="AN780" s="803">
        <v>35</v>
      </c>
      <c r="AO780" s="803" t="s">
        <v>1516</v>
      </c>
      <c r="AP780" s="803">
        <v>34</v>
      </c>
      <c r="AQ780" s="806">
        <v>16</v>
      </c>
      <c r="AR780" s="806">
        <v>47</v>
      </c>
      <c r="AS780" s="806">
        <v>307</v>
      </c>
      <c r="AT780" s="803">
        <v>458</v>
      </c>
      <c r="AU780" s="803">
        <v>6.88</v>
      </c>
      <c r="AV780" s="803">
        <v>72.900000000000006</v>
      </c>
      <c r="AW780" s="803">
        <v>13600</v>
      </c>
      <c r="AX780" s="803">
        <v>24800</v>
      </c>
      <c r="AY780" s="803">
        <v>483</v>
      </c>
      <c r="AZ780" s="803">
        <v>17100</v>
      </c>
      <c r="BA780" s="803">
        <v>267</v>
      </c>
      <c r="BB780" s="803">
        <v>1340</v>
      </c>
      <c r="BC780" s="803">
        <v>83.3</v>
      </c>
      <c r="BD780" s="803">
        <v>2070</v>
      </c>
      <c r="BE780" s="803">
        <v>0.74372832861743099</v>
      </c>
      <c r="BF780" s="803">
        <v>1175</v>
      </c>
      <c r="BG780" s="803">
        <v>5740</v>
      </c>
      <c r="BH780" s="803">
        <v>92200</v>
      </c>
      <c r="BI780" s="803">
        <v>118000</v>
      </c>
      <c r="BJ780" s="803">
        <v>294</v>
      </c>
      <c r="BK780" s="803">
        <v>2820</v>
      </c>
      <c r="BL780" s="807">
        <v>8520</v>
      </c>
    </row>
    <row r="781" spans="35:64" x14ac:dyDescent="0.3">
      <c r="AI781" s="801" t="s">
        <v>1517</v>
      </c>
      <c r="AJ781" s="802">
        <v>44700</v>
      </c>
      <c r="AK781" s="803">
        <v>1100</v>
      </c>
      <c r="AL781" s="803">
        <v>14</v>
      </c>
      <c r="AM781" s="803">
        <v>500</v>
      </c>
      <c r="AN781" s="803">
        <v>30</v>
      </c>
      <c r="AO781" s="803" t="s">
        <v>1518</v>
      </c>
      <c r="AP781" s="803">
        <v>34</v>
      </c>
      <c r="AQ781" s="806">
        <v>16</v>
      </c>
      <c r="AR781" s="806">
        <v>47</v>
      </c>
      <c r="AS781" s="803">
        <v>260</v>
      </c>
      <c r="AT781" s="803">
        <v>388</v>
      </c>
      <c r="AU781" s="803">
        <v>7.14</v>
      </c>
      <c r="AV781" s="803">
        <v>73.599999999999994</v>
      </c>
      <c r="AW781" s="803">
        <v>11200</v>
      </c>
      <c r="AX781" s="803">
        <v>20400</v>
      </c>
      <c r="AY781" s="803">
        <v>465</v>
      </c>
      <c r="AZ781" s="803">
        <v>14200</v>
      </c>
      <c r="BA781" s="803">
        <v>113</v>
      </c>
      <c r="BB781" s="803">
        <v>753</v>
      </c>
      <c r="BC781" s="803">
        <v>58</v>
      </c>
      <c r="BD781" s="803">
        <v>1200</v>
      </c>
      <c r="BE781" s="803">
        <v>0.53810466777861465</v>
      </c>
      <c r="BF781" s="803">
        <v>1175</v>
      </c>
      <c r="BG781" s="803">
        <v>4700</v>
      </c>
      <c r="BH781" s="803">
        <v>39000</v>
      </c>
      <c r="BI781" s="803">
        <v>88100</v>
      </c>
      <c r="BJ781" s="803">
        <v>165</v>
      </c>
      <c r="BK781" s="803">
        <v>2090</v>
      </c>
      <c r="BL781" s="807">
        <v>7050</v>
      </c>
    </row>
    <row r="782" spans="35:64" x14ac:dyDescent="0.3">
      <c r="AI782" s="801" t="s">
        <v>1519</v>
      </c>
      <c r="AJ782" s="802">
        <v>38700</v>
      </c>
      <c r="AK782" s="803">
        <v>1100</v>
      </c>
      <c r="AL782" s="803">
        <v>14</v>
      </c>
      <c r="AM782" s="803">
        <v>400</v>
      </c>
      <c r="AN782" s="803">
        <v>30</v>
      </c>
      <c r="AO782" s="803" t="s">
        <v>1520</v>
      </c>
      <c r="AP782" s="803">
        <v>51</v>
      </c>
      <c r="AQ782" s="806">
        <v>17</v>
      </c>
      <c r="AR782" s="806">
        <v>43</v>
      </c>
      <c r="AS782" s="806">
        <v>236</v>
      </c>
      <c r="AT782" s="803">
        <v>351</v>
      </c>
      <c r="AU782" s="803">
        <v>8.33</v>
      </c>
      <c r="AV782" s="803">
        <v>74.3</v>
      </c>
      <c r="AW782" s="803">
        <v>9930</v>
      </c>
      <c r="AX782" s="803">
        <v>18100</v>
      </c>
      <c r="AY782" s="803">
        <v>483</v>
      </c>
      <c r="AZ782" s="803">
        <v>27100</v>
      </c>
      <c r="BA782" s="803">
        <v>1110</v>
      </c>
      <c r="BB782" s="803">
        <v>4030</v>
      </c>
      <c r="BC782" s="803">
        <v>138</v>
      </c>
      <c r="BD782" s="803">
        <v>6100</v>
      </c>
      <c r="BE782" s="803">
        <v>1.1697685449520301</v>
      </c>
      <c r="BF782" s="803">
        <v>1060</v>
      </c>
      <c r="BG782" s="803">
        <v>24400</v>
      </c>
      <c r="BH782" s="803">
        <v>312000</v>
      </c>
      <c r="BI782" s="803">
        <v>146000</v>
      </c>
      <c r="BJ782" s="803">
        <v>802</v>
      </c>
      <c r="BK782" s="803">
        <v>5680</v>
      </c>
      <c r="BL782" s="807">
        <v>13500</v>
      </c>
    </row>
    <row r="783" spans="35:64" x14ac:dyDescent="0.3">
      <c r="AI783" s="801" t="s">
        <v>1521</v>
      </c>
      <c r="AJ783" s="802">
        <v>34800</v>
      </c>
      <c r="AK783" s="803">
        <v>1100</v>
      </c>
      <c r="AL783" s="803">
        <v>14</v>
      </c>
      <c r="AM783" s="803">
        <v>400</v>
      </c>
      <c r="AN783" s="803">
        <v>25</v>
      </c>
      <c r="AO783" s="803" t="s">
        <v>1522</v>
      </c>
      <c r="AP783" s="803">
        <v>44</v>
      </c>
      <c r="AQ783" s="806">
        <v>15</v>
      </c>
      <c r="AR783" s="806">
        <v>43</v>
      </c>
      <c r="AS783" s="806">
        <v>204</v>
      </c>
      <c r="AT783" s="803">
        <v>304</v>
      </c>
      <c r="AU783" s="803">
        <v>6.67</v>
      </c>
      <c r="AV783" s="803">
        <v>74.3</v>
      </c>
      <c r="AW783" s="803">
        <v>8220</v>
      </c>
      <c r="AX783" s="803">
        <v>14900</v>
      </c>
      <c r="AY783" s="803">
        <v>476</v>
      </c>
      <c r="AZ783" s="803">
        <v>22400</v>
      </c>
      <c r="BA783" s="803">
        <v>729</v>
      </c>
      <c r="BB783" s="803">
        <v>2920</v>
      </c>
      <c r="BC783" s="803">
        <v>121</v>
      </c>
      <c r="BD783" s="803">
        <v>4430</v>
      </c>
      <c r="BE783" s="803">
        <v>1.0472863837489861</v>
      </c>
      <c r="BF783" s="803">
        <v>1065</v>
      </c>
      <c r="BG783" s="803">
        <v>15200</v>
      </c>
      <c r="BH783" s="803">
        <v>207000</v>
      </c>
      <c r="BI783" s="803">
        <v>133000</v>
      </c>
      <c r="BJ783" s="803">
        <v>582</v>
      </c>
      <c r="BK783" s="803">
        <v>4530</v>
      </c>
      <c r="BL783" s="807">
        <v>11200</v>
      </c>
    </row>
    <row r="784" spans="35:64" x14ac:dyDescent="0.3">
      <c r="AI784" s="801" t="s">
        <v>1523</v>
      </c>
      <c r="AJ784" s="802">
        <v>29800</v>
      </c>
      <c r="AK784" s="803">
        <v>1100</v>
      </c>
      <c r="AL784" s="803">
        <v>14</v>
      </c>
      <c r="AM784" s="803">
        <v>300</v>
      </c>
      <c r="AN784" s="803">
        <v>25</v>
      </c>
      <c r="AO784" s="803" t="s">
        <v>1524</v>
      </c>
      <c r="AP784" s="803">
        <v>39</v>
      </c>
      <c r="AQ784" s="806">
        <v>15</v>
      </c>
      <c r="AR784" s="806">
        <v>43</v>
      </c>
      <c r="AS784" s="806">
        <v>184</v>
      </c>
      <c r="AT784" s="803">
        <v>273</v>
      </c>
      <c r="AU784" s="803">
        <v>8</v>
      </c>
      <c r="AV784" s="803">
        <v>75</v>
      </c>
      <c r="AW784" s="803">
        <v>7160</v>
      </c>
      <c r="AX784" s="803">
        <v>13000</v>
      </c>
      <c r="AY784" s="803">
        <v>472</v>
      </c>
      <c r="AZ784" s="803">
        <v>19900</v>
      </c>
      <c r="BA784" s="803">
        <v>625</v>
      </c>
      <c r="BB784" s="803">
        <v>2500</v>
      </c>
      <c r="BC784" s="803">
        <v>118</v>
      </c>
      <c r="BD784" s="803">
        <v>3800</v>
      </c>
      <c r="BE784" s="803">
        <v>1.0320687727702069</v>
      </c>
      <c r="BF784" s="803">
        <v>1070</v>
      </c>
      <c r="BG784" s="803">
        <v>9950</v>
      </c>
      <c r="BH784" s="803">
        <v>179000</v>
      </c>
      <c r="BI784" s="803">
        <v>134000</v>
      </c>
      <c r="BJ784" s="803">
        <v>502</v>
      </c>
      <c r="BK784" s="803">
        <v>3900</v>
      </c>
      <c r="BL784" s="807">
        <v>9920</v>
      </c>
    </row>
    <row r="785" spans="35:64" x14ac:dyDescent="0.3">
      <c r="AI785" s="801" t="s">
        <v>1525</v>
      </c>
      <c r="AJ785" s="802">
        <v>57100</v>
      </c>
      <c r="AK785" s="803">
        <v>1000</v>
      </c>
      <c r="AL785" s="803">
        <v>14</v>
      </c>
      <c r="AM785" s="803">
        <v>550</v>
      </c>
      <c r="AN785" s="803">
        <v>40</v>
      </c>
      <c r="AO785" s="803" t="s">
        <v>1526</v>
      </c>
      <c r="AP785" s="803">
        <v>39</v>
      </c>
      <c r="AQ785" s="803">
        <v>15</v>
      </c>
      <c r="AR785" s="803">
        <v>43</v>
      </c>
      <c r="AS785" s="806">
        <v>157</v>
      </c>
      <c r="AT785" s="803">
        <v>234</v>
      </c>
      <c r="AU785" s="803">
        <v>6</v>
      </c>
      <c r="AV785" s="803">
        <v>75</v>
      </c>
      <c r="AW785" s="803">
        <v>5720</v>
      </c>
      <c r="AX785" s="803">
        <v>10400</v>
      </c>
      <c r="AY785" s="803">
        <v>461</v>
      </c>
      <c r="AZ785" s="803">
        <v>16700</v>
      </c>
      <c r="BA785" s="803">
        <v>320</v>
      </c>
      <c r="BB785" s="803">
        <v>1600</v>
      </c>
      <c r="BC785" s="803">
        <v>91</v>
      </c>
      <c r="BD785" s="803">
        <v>2450</v>
      </c>
      <c r="BE785" s="803">
        <v>0.8117904159959507</v>
      </c>
      <c r="BF785" s="803">
        <v>1070</v>
      </c>
      <c r="BG785" s="803">
        <v>8150</v>
      </c>
      <c r="BH785" s="803">
        <v>91700</v>
      </c>
      <c r="BI785" s="803">
        <v>107000</v>
      </c>
      <c r="BJ785" s="803">
        <v>321</v>
      </c>
      <c r="BK785" s="803">
        <v>3100</v>
      </c>
      <c r="BL785" s="807">
        <v>8310</v>
      </c>
    </row>
    <row r="786" spans="35:64" x14ac:dyDescent="0.3">
      <c r="AI786" s="801" t="s">
        <v>1527</v>
      </c>
      <c r="AJ786" s="802">
        <v>48100</v>
      </c>
      <c r="AK786" s="803">
        <v>1000</v>
      </c>
      <c r="AL786" s="803">
        <v>14</v>
      </c>
      <c r="AM786" s="803">
        <v>500</v>
      </c>
      <c r="AN786" s="803">
        <v>35</v>
      </c>
      <c r="AO786" s="803" t="s">
        <v>1528</v>
      </c>
      <c r="AP786" s="803">
        <v>34</v>
      </c>
      <c r="AQ786" s="803">
        <v>15</v>
      </c>
      <c r="AR786" s="803">
        <v>43</v>
      </c>
      <c r="AS786" s="806">
        <v>300</v>
      </c>
      <c r="AT786" s="803">
        <v>447</v>
      </c>
      <c r="AU786" s="803">
        <v>6.88</v>
      </c>
      <c r="AV786" s="803">
        <v>65.7</v>
      </c>
      <c r="AW786" s="803">
        <v>11100</v>
      </c>
      <c r="AX786" s="803">
        <v>22200</v>
      </c>
      <c r="AY786" s="803">
        <v>454</v>
      </c>
      <c r="AZ786" s="803">
        <v>14700</v>
      </c>
      <c r="BA786" s="803">
        <v>267</v>
      </c>
      <c r="BB786" s="803">
        <v>1330</v>
      </c>
      <c r="BC786" s="803">
        <v>87.5</v>
      </c>
      <c r="BD786" s="803">
        <v>2050</v>
      </c>
      <c r="BE786" s="803">
        <v>0.79604001405376523</v>
      </c>
      <c r="BF786" s="803">
        <v>1075</v>
      </c>
      <c r="BG786" s="803">
        <v>5130</v>
      </c>
      <c r="BH786" s="803">
        <v>77100</v>
      </c>
      <c r="BI786" s="803">
        <v>108000</v>
      </c>
      <c r="BJ786" s="803">
        <v>269</v>
      </c>
      <c r="BK786" s="803">
        <v>2590</v>
      </c>
      <c r="BL786" s="807">
        <v>7300</v>
      </c>
    </row>
    <row r="787" spans="35:64" x14ac:dyDescent="0.3">
      <c r="AI787" s="801" t="s">
        <v>1529</v>
      </c>
      <c r="AJ787" s="802">
        <v>43300</v>
      </c>
      <c r="AK787" s="803">
        <v>1000</v>
      </c>
      <c r="AL787" s="803">
        <v>14</v>
      </c>
      <c r="AM787" s="803">
        <v>500</v>
      </c>
      <c r="AN787" s="803">
        <v>30</v>
      </c>
      <c r="AO787" s="803" t="s">
        <v>1530</v>
      </c>
      <c r="AP787" s="803">
        <v>34</v>
      </c>
      <c r="AQ787" s="803">
        <v>15</v>
      </c>
      <c r="AR787" s="803">
        <v>43</v>
      </c>
      <c r="AS787" s="806">
        <v>253</v>
      </c>
      <c r="AT787" s="803">
        <v>377</v>
      </c>
      <c r="AU787" s="803">
        <v>7.14</v>
      </c>
      <c r="AV787" s="803">
        <v>66.400000000000006</v>
      </c>
      <c r="AW787" s="803">
        <v>9120</v>
      </c>
      <c r="AX787" s="803">
        <v>18200</v>
      </c>
      <c r="AY787" s="803">
        <v>438</v>
      </c>
      <c r="AZ787" s="803">
        <v>12000</v>
      </c>
      <c r="BA787" s="803">
        <v>113</v>
      </c>
      <c r="BB787" s="803">
        <v>752</v>
      </c>
      <c r="BC787" s="803">
        <v>61.5</v>
      </c>
      <c r="BD787" s="803">
        <v>1180</v>
      </c>
      <c r="BE787" s="803">
        <v>0.5792632765618676</v>
      </c>
      <c r="BF787" s="803">
        <v>1075</v>
      </c>
      <c r="BG787" s="803">
        <v>4090</v>
      </c>
      <c r="BH787" s="803">
        <v>32600</v>
      </c>
      <c r="BI787" s="803">
        <v>80600</v>
      </c>
      <c r="BJ787" s="803">
        <v>151</v>
      </c>
      <c r="BK787" s="803">
        <v>1920</v>
      </c>
      <c r="BL787" s="807">
        <v>5960</v>
      </c>
    </row>
    <row r="788" spans="35:64" x14ac:dyDescent="0.3">
      <c r="AI788" s="801" t="s">
        <v>1531</v>
      </c>
      <c r="AJ788" s="802">
        <v>37300</v>
      </c>
      <c r="AK788" s="803">
        <v>1000</v>
      </c>
      <c r="AL788" s="803">
        <v>14</v>
      </c>
      <c r="AM788" s="803">
        <v>400</v>
      </c>
      <c r="AN788" s="803">
        <v>30</v>
      </c>
      <c r="AO788" s="803" t="s">
        <v>1532</v>
      </c>
      <c r="AP788" s="803">
        <v>51</v>
      </c>
      <c r="AQ788" s="803">
        <v>17</v>
      </c>
      <c r="AR788" s="803">
        <v>39</v>
      </c>
      <c r="AS788" s="806">
        <v>228</v>
      </c>
      <c r="AT788" s="803">
        <v>340</v>
      </c>
      <c r="AU788" s="803">
        <v>8.33</v>
      </c>
      <c r="AV788" s="803">
        <v>67.099999999999994</v>
      </c>
      <c r="AW788" s="803">
        <v>8060</v>
      </c>
      <c r="AX788" s="803">
        <v>16100</v>
      </c>
      <c r="AY788" s="803">
        <v>441</v>
      </c>
      <c r="AZ788" s="803">
        <v>24200</v>
      </c>
      <c r="BA788" s="803">
        <v>1110</v>
      </c>
      <c r="BB788" s="803">
        <v>4030</v>
      </c>
      <c r="BC788" s="803">
        <v>139</v>
      </c>
      <c r="BD788" s="803">
        <v>6100</v>
      </c>
      <c r="BE788" s="803">
        <v>1.232336314974122</v>
      </c>
      <c r="BF788" s="803">
        <v>960</v>
      </c>
      <c r="BG788" s="803">
        <v>24300</v>
      </c>
      <c r="BH788" s="803">
        <v>256000</v>
      </c>
      <c r="BI788" s="803">
        <v>132000</v>
      </c>
      <c r="BJ788" s="803">
        <v>726</v>
      </c>
      <c r="BK788" s="803">
        <v>5150</v>
      </c>
      <c r="BL788" s="807">
        <v>12000</v>
      </c>
    </row>
    <row r="789" spans="35:64" x14ac:dyDescent="0.3">
      <c r="AI789" s="801" t="s">
        <v>1533</v>
      </c>
      <c r="AJ789" s="802">
        <v>33400</v>
      </c>
      <c r="AK789" s="803">
        <v>1000</v>
      </c>
      <c r="AL789" s="803">
        <v>14</v>
      </c>
      <c r="AM789" s="803">
        <v>400</v>
      </c>
      <c r="AN789" s="803">
        <v>25</v>
      </c>
      <c r="AO789" s="803" t="s">
        <v>1534</v>
      </c>
      <c r="AP789" s="803">
        <v>44</v>
      </c>
      <c r="AQ789" s="803">
        <v>15</v>
      </c>
      <c r="AR789" s="803">
        <v>39</v>
      </c>
      <c r="AS789" s="806">
        <v>197</v>
      </c>
      <c r="AT789" s="803">
        <v>293</v>
      </c>
      <c r="AU789" s="803">
        <v>6.67</v>
      </c>
      <c r="AV789" s="803">
        <v>67.099999999999994</v>
      </c>
      <c r="AW789" s="803">
        <v>6640</v>
      </c>
      <c r="AX789" s="803">
        <v>13300</v>
      </c>
      <c r="AY789" s="803">
        <v>435</v>
      </c>
      <c r="AZ789" s="803">
        <v>20000</v>
      </c>
      <c r="BA789" s="803">
        <v>729</v>
      </c>
      <c r="BB789" s="803">
        <v>2920</v>
      </c>
      <c r="BC789" s="803">
        <v>123</v>
      </c>
      <c r="BD789" s="803">
        <v>4420</v>
      </c>
      <c r="BE789" s="803">
        <v>1.1048331415838639</v>
      </c>
      <c r="BF789" s="803">
        <v>965</v>
      </c>
      <c r="BG789" s="803">
        <v>15100</v>
      </c>
      <c r="BH789" s="803">
        <v>170000</v>
      </c>
      <c r="BI789" s="803">
        <v>121000</v>
      </c>
      <c r="BJ789" s="803">
        <v>528</v>
      </c>
      <c r="BK789" s="803">
        <v>4100</v>
      </c>
      <c r="BL789" s="807">
        <v>9960</v>
      </c>
    </row>
    <row r="790" spans="35:64" x14ac:dyDescent="0.3">
      <c r="AI790" s="801" t="s">
        <v>1535</v>
      </c>
      <c r="AJ790" s="802">
        <v>28400</v>
      </c>
      <c r="AK790" s="803">
        <v>1000</v>
      </c>
      <c r="AL790" s="803">
        <v>14</v>
      </c>
      <c r="AM790" s="803">
        <v>300</v>
      </c>
      <c r="AN790" s="803">
        <v>25</v>
      </c>
      <c r="AO790" s="803" t="s">
        <v>1536</v>
      </c>
      <c r="AP790" s="803">
        <v>39</v>
      </c>
      <c r="AQ790" s="803">
        <v>15</v>
      </c>
      <c r="AR790" s="803">
        <v>39</v>
      </c>
      <c r="AS790" s="806">
        <v>176</v>
      </c>
      <c r="AT790" s="803">
        <v>262</v>
      </c>
      <c r="AU790" s="803">
        <v>8</v>
      </c>
      <c r="AV790" s="803">
        <v>67.900000000000006</v>
      </c>
      <c r="AW790" s="803">
        <v>5780</v>
      </c>
      <c r="AX790" s="803">
        <v>11600</v>
      </c>
      <c r="AY790" s="803">
        <v>431</v>
      </c>
      <c r="AZ790" s="803">
        <v>17700</v>
      </c>
      <c r="BA790" s="803">
        <v>625</v>
      </c>
      <c r="BB790" s="803">
        <v>2500</v>
      </c>
      <c r="BC790" s="803">
        <v>120</v>
      </c>
      <c r="BD790" s="803">
        <v>3800</v>
      </c>
      <c r="BE790" s="803">
        <v>1.0905154355527069</v>
      </c>
      <c r="BF790" s="803">
        <v>970</v>
      </c>
      <c r="BG790" s="803">
        <v>9860</v>
      </c>
      <c r="BH790" s="803">
        <v>147000</v>
      </c>
      <c r="BI790" s="803">
        <v>121000</v>
      </c>
      <c r="BJ790" s="803">
        <v>455</v>
      </c>
      <c r="BK790" s="803">
        <v>3540</v>
      </c>
      <c r="BL790" s="807">
        <v>8820</v>
      </c>
    </row>
    <row r="791" spans="35:64" x14ac:dyDescent="0.3">
      <c r="AI791" s="801" t="s">
        <v>1537</v>
      </c>
      <c r="AJ791" s="802">
        <v>25600</v>
      </c>
      <c r="AK791" s="803">
        <v>1000</v>
      </c>
      <c r="AL791" s="803">
        <v>14</v>
      </c>
      <c r="AM791" s="803">
        <v>300</v>
      </c>
      <c r="AN791" s="803">
        <v>20</v>
      </c>
      <c r="AO791" s="803" t="s">
        <v>1538</v>
      </c>
      <c r="AP791" s="803">
        <v>39</v>
      </c>
      <c r="AQ791" s="803">
        <v>15</v>
      </c>
      <c r="AR791" s="803">
        <v>39</v>
      </c>
      <c r="AS791" s="806">
        <v>150</v>
      </c>
      <c r="AT791" s="803">
        <v>223</v>
      </c>
      <c r="AU791" s="803">
        <v>6</v>
      </c>
      <c r="AV791" s="803">
        <v>67.900000000000006</v>
      </c>
      <c r="AW791" s="803">
        <v>4590</v>
      </c>
      <c r="AX791" s="803">
        <v>9190</v>
      </c>
      <c r="AY791" s="803">
        <v>422</v>
      </c>
      <c r="AZ791" s="803">
        <v>14800</v>
      </c>
      <c r="BA791" s="803">
        <v>320</v>
      </c>
      <c r="BB791" s="803">
        <v>1600</v>
      </c>
      <c r="BC791" s="803">
        <v>92.7</v>
      </c>
      <c r="BD791" s="803">
        <v>2450</v>
      </c>
      <c r="BE791" s="803">
        <v>0.85980942008932115</v>
      </c>
      <c r="BF791" s="803">
        <v>970</v>
      </c>
      <c r="BG791" s="803">
        <v>8060</v>
      </c>
      <c r="BH791" s="803">
        <v>75300</v>
      </c>
      <c r="BI791" s="803">
        <v>97000</v>
      </c>
      <c r="BJ791" s="803">
        <v>291</v>
      </c>
      <c r="BK791" s="803">
        <v>2810</v>
      </c>
      <c r="BL791" s="807">
        <v>7370</v>
      </c>
    </row>
    <row r="792" spans="35:64" x14ac:dyDescent="0.3">
      <c r="AI792" s="801" t="s">
        <v>1539</v>
      </c>
      <c r="AJ792" s="802">
        <v>53200</v>
      </c>
      <c r="AK792" s="803">
        <v>900</v>
      </c>
      <c r="AL792" s="803">
        <v>11</v>
      </c>
      <c r="AM792" s="803">
        <v>550</v>
      </c>
      <c r="AN792" s="803">
        <v>40</v>
      </c>
      <c r="AO792" s="803" t="s">
        <v>1540</v>
      </c>
      <c r="AP792" s="803">
        <v>34</v>
      </c>
      <c r="AQ792" s="803">
        <v>15</v>
      </c>
      <c r="AR792" s="803">
        <v>39</v>
      </c>
      <c r="AS792" s="806">
        <v>134</v>
      </c>
      <c r="AT792" s="803">
        <v>200</v>
      </c>
      <c r="AU792" s="803">
        <v>7.5</v>
      </c>
      <c r="AV792" s="803">
        <v>68.599999999999994</v>
      </c>
      <c r="AW792" s="803">
        <v>3940</v>
      </c>
      <c r="AX792" s="803">
        <v>7880</v>
      </c>
      <c r="AY792" s="803">
        <v>416</v>
      </c>
      <c r="AZ792" s="803">
        <v>13000</v>
      </c>
      <c r="BA792" s="803">
        <v>267</v>
      </c>
      <c r="BB792" s="803">
        <v>1330</v>
      </c>
      <c r="BC792" s="803">
        <v>89.4</v>
      </c>
      <c r="BD792" s="803">
        <v>2050</v>
      </c>
      <c r="BE792" s="803">
        <v>0.84369642835862813</v>
      </c>
      <c r="BF792" s="803">
        <v>975</v>
      </c>
      <c r="BG792" s="803">
        <v>5040</v>
      </c>
      <c r="BH792" s="803">
        <v>63400</v>
      </c>
      <c r="BI792" s="803">
        <v>97500</v>
      </c>
      <c r="BJ792" s="803">
        <v>244</v>
      </c>
      <c r="BK792" s="803">
        <v>2350</v>
      </c>
      <c r="BL792" s="807">
        <v>6450</v>
      </c>
    </row>
    <row r="793" spans="35:64" x14ac:dyDescent="0.3">
      <c r="AI793" s="801" t="s">
        <v>1541</v>
      </c>
      <c r="AJ793" s="802">
        <v>44300</v>
      </c>
      <c r="AK793" s="803">
        <v>900</v>
      </c>
      <c r="AL793" s="803">
        <v>11</v>
      </c>
      <c r="AM793" s="803">
        <v>500</v>
      </c>
      <c r="AN793" s="803">
        <v>35</v>
      </c>
      <c r="AO793" s="803" t="s">
        <v>1542</v>
      </c>
      <c r="AP793" s="803">
        <v>34</v>
      </c>
      <c r="AQ793" s="803">
        <v>15</v>
      </c>
      <c r="AR793" s="803">
        <v>39</v>
      </c>
      <c r="AS793" s="806">
        <v>279</v>
      </c>
      <c r="AT793" s="803">
        <v>417</v>
      </c>
      <c r="AU793" s="803">
        <v>6.88</v>
      </c>
      <c r="AV793" s="803">
        <v>74.5</v>
      </c>
      <c r="AW793" s="803">
        <v>8680</v>
      </c>
      <c r="AX793" s="803">
        <v>19300</v>
      </c>
      <c r="AY793" s="803">
        <v>402</v>
      </c>
      <c r="AZ793" s="803">
        <v>10500</v>
      </c>
      <c r="BA793" s="803">
        <v>113</v>
      </c>
      <c r="BB793" s="803">
        <v>752</v>
      </c>
      <c r="BC793" s="803">
        <v>63</v>
      </c>
      <c r="BD793" s="803">
        <v>1170</v>
      </c>
      <c r="BE793" s="803">
        <v>0.61573943182382529</v>
      </c>
      <c r="BF793" s="803">
        <v>975</v>
      </c>
      <c r="BG793" s="803">
        <v>3990</v>
      </c>
      <c r="BH793" s="803">
        <v>26800</v>
      </c>
      <c r="BI793" s="803">
        <v>73100</v>
      </c>
      <c r="BJ793" s="803">
        <v>137</v>
      </c>
      <c r="BK793" s="803">
        <v>1740</v>
      </c>
      <c r="BL793" s="807">
        <v>5240</v>
      </c>
    </row>
    <row r="794" spans="35:64" x14ac:dyDescent="0.3">
      <c r="AI794" s="801" t="s">
        <v>1543</v>
      </c>
      <c r="AJ794" s="802">
        <v>39400</v>
      </c>
      <c r="AK794" s="803">
        <v>900</v>
      </c>
      <c r="AL794" s="803">
        <v>11</v>
      </c>
      <c r="AM794" s="803">
        <v>500</v>
      </c>
      <c r="AN794" s="803">
        <v>30</v>
      </c>
      <c r="AO794" s="803" t="s">
        <v>1544</v>
      </c>
      <c r="AP794" s="803">
        <v>29</v>
      </c>
      <c r="AQ794" s="803">
        <v>15</v>
      </c>
      <c r="AR794" s="803">
        <v>39</v>
      </c>
      <c r="AS794" s="806">
        <v>233</v>
      </c>
      <c r="AT794" s="803">
        <v>347</v>
      </c>
      <c r="AU794" s="803">
        <v>7.14</v>
      </c>
      <c r="AV794" s="803">
        <v>75.5</v>
      </c>
      <c r="AW794" s="803">
        <v>7100</v>
      </c>
      <c r="AX794" s="803">
        <v>15800</v>
      </c>
      <c r="AY794" s="803">
        <v>393</v>
      </c>
      <c r="AZ794" s="803">
        <v>9170</v>
      </c>
      <c r="BA794" s="803">
        <v>90.2</v>
      </c>
      <c r="BB794" s="803">
        <v>602</v>
      </c>
      <c r="BC794" s="803">
        <v>59.4</v>
      </c>
      <c r="BD794" s="803">
        <v>948</v>
      </c>
      <c r="BE794" s="803">
        <v>0.5958932376057654</v>
      </c>
      <c r="BF794" s="803">
        <v>980</v>
      </c>
      <c r="BG794" s="803">
        <v>2480</v>
      </c>
      <c r="BH794" s="803">
        <v>21700</v>
      </c>
      <c r="BI794" s="803">
        <v>73500</v>
      </c>
      <c r="BJ794" s="803">
        <v>110</v>
      </c>
      <c r="BK794" s="803">
        <v>1400</v>
      </c>
      <c r="BL794" s="807">
        <v>4550</v>
      </c>
    </row>
    <row r="795" spans="35:64" x14ac:dyDescent="0.3">
      <c r="AI795" s="801" t="s">
        <v>1545</v>
      </c>
      <c r="AJ795" s="802">
        <v>33400</v>
      </c>
      <c r="AK795" s="803">
        <v>900</v>
      </c>
      <c r="AL795" s="803">
        <v>11</v>
      </c>
      <c r="AM795" s="803">
        <v>400</v>
      </c>
      <c r="AN795" s="803">
        <v>30</v>
      </c>
      <c r="AO795" s="803" t="s">
        <v>1546</v>
      </c>
      <c r="AP795" s="803">
        <v>51</v>
      </c>
      <c r="AQ795" s="803">
        <v>16</v>
      </c>
      <c r="AR795" s="803">
        <v>35</v>
      </c>
      <c r="AS795" s="806">
        <v>208</v>
      </c>
      <c r="AT795" s="803">
        <v>309</v>
      </c>
      <c r="AU795" s="803">
        <v>8.33</v>
      </c>
      <c r="AV795" s="803">
        <v>76.400000000000006</v>
      </c>
      <c r="AW795" s="803">
        <v>6240</v>
      </c>
      <c r="AX795" s="803">
        <v>13900</v>
      </c>
      <c r="AY795" s="803">
        <v>404</v>
      </c>
      <c r="AZ795" s="803">
        <v>20800</v>
      </c>
      <c r="BA795" s="803">
        <v>1110</v>
      </c>
      <c r="BB795" s="803">
        <v>4030</v>
      </c>
      <c r="BC795" s="803">
        <v>144</v>
      </c>
      <c r="BD795" s="803">
        <v>6080</v>
      </c>
      <c r="BE795" s="803">
        <v>1.318285111860048</v>
      </c>
      <c r="BF795" s="803">
        <v>860</v>
      </c>
      <c r="BG795" s="803">
        <v>23800</v>
      </c>
      <c r="BH795" s="803">
        <v>205000</v>
      </c>
      <c r="BI795" s="803">
        <v>118000</v>
      </c>
      <c r="BJ795" s="803">
        <v>650</v>
      </c>
      <c r="BK795" s="803">
        <v>4640</v>
      </c>
      <c r="BL795" s="807">
        <v>10400</v>
      </c>
    </row>
    <row r="796" spans="35:64" x14ac:dyDescent="0.3">
      <c r="AI796" s="801" t="s">
        <v>1547</v>
      </c>
      <c r="AJ796" s="802">
        <v>29500</v>
      </c>
      <c r="AK796" s="803">
        <v>900</v>
      </c>
      <c r="AL796" s="803">
        <v>11</v>
      </c>
      <c r="AM796" s="803">
        <v>400</v>
      </c>
      <c r="AN796" s="803">
        <v>25</v>
      </c>
      <c r="AO796" s="803" t="s">
        <v>1548</v>
      </c>
      <c r="AP796" s="803">
        <v>44</v>
      </c>
      <c r="AQ796" s="803">
        <v>14</v>
      </c>
      <c r="AR796" s="803">
        <v>35</v>
      </c>
      <c r="AS796" s="806">
        <v>176</v>
      </c>
      <c r="AT796" s="803">
        <v>262</v>
      </c>
      <c r="AU796" s="803">
        <v>6.67</v>
      </c>
      <c r="AV796" s="803">
        <v>76.400000000000006</v>
      </c>
      <c r="AW796" s="803">
        <v>5110</v>
      </c>
      <c r="AX796" s="803">
        <v>11400</v>
      </c>
      <c r="AY796" s="803">
        <v>400</v>
      </c>
      <c r="AZ796" s="803">
        <v>17100</v>
      </c>
      <c r="BA796" s="803">
        <v>729</v>
      </c>
      <c r="BB796" s="803">
        <v>2920</v>
      </c>
      <c r="BC796" s="803">
        <v>128</v>
      </c>
      <c r="BD796" s="803">
        <v>4400</v>
      </c>
      <c r="BE796" s="803">
        <v>1.1842337520182411</v>
      </c>
      <c r="BF796" s="803">
        <v>865</v>
      </c>
      <c r="BG796" s="803">
        <v>14700</v>
      </c>
      <c r="BH796" s="803">
        <v>136000</v>
      </c>
      <c r="BI796" s="803">
        <v>108000</v>
      </c>
      <c r="BJ796" s="803">
        <v>473</v>
      </c>
      <c r="BK796" s="803">
        <v>3700</v>
      </c>
      <c r="BL796" s="807">
        <v>8520</v>
      </c>
    </row>
    <row r="797" spans="35:64" x14ac:dyDescent="0.3">
      <c r="AI797" s="801" t="s">
        <v>1549</v>
      </c>
      <c r="AJ797" s="802">
        <v>24500</v>
      </c>
      <c r="AK797" s="803">
        <v>900</v>
      </c>
      <c r="AL797" s="803">
        <v>11</v>
      </c>
      <c r="AM797" s="803">
        <v>300</v>
      </c>
      <c r="AN797" s="803">
        <v>25</v>
      </c>
      <c r="AO797" s="803" t="s">
        <v>1550</v>
      </c>
      <c r="AP797" s="803">
        <v>39</v>
      </c>
      <c r="AQ797" s="803">
        <v>14</v>
      </c>
      <c r="AR797" s="803">
        <v>35</v>
      </c>
      <c r="AS797" s="806">
        <v>156</v>
      </c>
      <c r="AT797" s="803">
        <v>231</v>
      </c>
      <c r="AU797" s="803">
        <v>8</v>
      </c>
      <c r="AV797" s="803">
        <v>77.3</v>
      </c>
      <c r="AW797" s="803">
        <v>4410</v>
      </c>
      <c r="AX797" s="803">
        <v>9810</v>
      </c>
      <c r="AY797" s="803">
        <v>398</v>
      </c>
      <c r="AZ797" s="803">
        <v>15000</v>
      </c>
      <c r="BA797" s="803">
        <v>625</v>
      </c>
      <c r="BB797" s="803">
        <v>2500</v>
      </c>
      <c r="BC797" s="803">
        <v>126</v>
      </c>
      <c r="BD797" s="803">
        <v>3780</v>
      </c>
      <c r="BE797" s="803">
        <v>1.1731355924933879</v>
      </c>
      <c r="BF797" s="803">
        <v>870</v>
      </c>
      <c r="BG797" s="803">
        <v>9370</v>
      </c>
      <c r="BH797" s="803">
        <v>118000</v>
      </c>
      <c r="BI797" s="803">
        <v>109000</v>
      </c>
      <c r="BJ797" s="803">
        <v>408</v>
      </c>
      <c r="BK797" s="803">
        <v>3190</v>
      </c>
      <c r="BL797" s="807">
        <v>7500</v>
      </c>
    </row>
    <row r="798" spans="35:64" x14ac:dyDescent="0.3">
      <c r="AI798" s="801" t="s">
        <v>1551</v>
      </c>
      <c r="AJ798" s="802">
        <v>21600</v>
      </c>
      <c r="AK798" s="803">
        <v>900</v>
      </c>
      <c r="AL798" s="803">
        <v>11</v>
      </c>
      <c r="AM798" s="803">
        <v>300</v>
      </c>
      <c r="AN798" s="803">
        <v>20</v>
      </c>
      <c r="AO798" s="803" t="s">
        <v>1552</v>
      </c>
      <c r="AP798" s="803">
        <v>39</v>
      </c>
      <c r="AQ798" s="803">
        <v>14</v>
      </c>
      <c r="AR798" s="803">
        <v>35</v>
      </c>
      <c r="AS798" s="803">
        <v>128</v>
      </c>
      <c r="AT798" s="803">
        <v>192</v>
      </c>
      <c r="AU798" s="803">
        <v>6</v>
      </c>
      <c r="AV798" s="803">
        <v>77.3</v>
      </c>
      <c r="AW798" s="803">
        <v>3460</v>
      </c>
      <c r="AX798" s="803">
        <v>7680</v>
      </c>
      <c r="AY798" s="803">
        <v>391</v>
      </c>
      <c r="AZ798" s="803">
        <v>12400</v>
      </c>
      <c r="BA798" s="803">
        <v>320</v>
      </c>
      <c r="BB798" s="803">
        <v>1600</v>
      </c>
      <c r="BC798" s="803">
        <v>97.9</v>
      </c>
      <c r="BD798" s="803">
        <v>2430</v>
      </c>
      <c r="BE798" s="803">
        <v>0.92831464213583392</v>
      </c>
      <c r="BF798" s="803">
        <v>870</v>
      </c>
      <c r="BG798" s="803">
        <v>7570</v>
      </c>
      <c r="BH798" s="803">
        <v>60600</v>
      </c>
      <c r="BI798" s="803">
        <v>87000</v>
      </c>
      <c r="BJ798" s="803">
        <v>261</v>
      </c>
      <c r="BK798" s="803">
        <v>2540</v>
      </c>
      <c r="BL798" s="807">
        <v>6190</v>
      </c>
    </row>
    <row r="799" spans="35:64" x14ac:dyDescent="0.3">
      <c r="AI799" s="801" t="s">
        <v>1553</v>
      </c>
      <c r="AJ799" s="802">
        <v>43200</v>
      </c>
      <c r="AK799" s="803">
        <v>800</v>
      </c>
      <c r="AL799" s="803">
        <v>11</v>
      </c>
      <c r="AM799" s="803">
        <v>500</v>
      </c>
      <c r="AN799" s="803">
        <v>35</v>
      </c>
      <c r="AO799" s="803" t="s">
        <v>1554</v>
      </c>
      <c r="AP799" s="803">
        <v>34</v>
      </c>
      <c r="AQ799" s="803">
        <v>14</v>
      </c>
      <c r="AR799" s="803">
        <v>35</v>
      </c>
      <c r="AS799" s="803">
        <v>113</v>
      </c>
      <c r="AT799" s="803">
        <v>169</v>
      </c>
      <c r="AU799" s="803">
        <v>7.5</v>
      </c>
      <c r="AV799" s="803">
        <v>78.2</v>
      </c>
      <c r="AW799" s="803">
        <v>2930</v>
      </c>
      <c r="AX799" s="803">
        <v>6510</v>
      </c>
      <c r="AY799" s="803">
        <v>387</v>
      </c>
      <c r="AZ799" s="803">
        <v>10800</v>
      </c>
      <c r="BA799" s="803">
        <v>267</v>
      </c>
      <c r="BB799" s="803">
        <v>1330</v>
      </c>
      <c r="BC799" s="803">
        <v>95.1</v>
      </c>
      <c r="BD799" s="803">
        <v>2030</v>
      </c>
      <c r="BE799" s="803">
        <v>0.91519522521652719</v>
      </c>
      <c r="BF799" s="803">
        <v>875</v>
      </c>
      <c r="BG799" s="803">
        <v>4540</v>
      </c>
      <c r="BH799" s="803">
        <v>51100</v>
      </c>
      <c r="BI799" s="803">
        <v>87500</v>
      </c>
      <c r="BJ799" s="803">
        <v>219</v>
      </c>
      <c r="BK799" s="803">
        <v>2130</v>
      </c>
      <c r="BL799" s="807">
        <v>5370</v>
      </c>
    </row>
    <row r="800" spans="35:64" x14ac:dyDescent="0.3">
      <c r="AI800" s="801" t="s">
        <v>1555</v>
      </c>
      <c r="AJ800" s="802">
        <v>38300</v>
      </c>
      <c r="AK800" s="803">
        <v>800</v>
      </c>
      <c r="AL800" s="803">
        <v>11</v>
      </c>
      <c r="AM800" s="803">
        <v>500</v>
      </c>
      <c r="AN800" s="803">
        <v>30</v>
      </c>
      <c r="AO800" s="803" t="s">
        <v>1556</v>
      </c>
      <c r="AP800" s="803">
        <v>34</v>
      </c>
      <c r="AQ800" s="803">
        <v>14</v>
      </c>
      <c r="AR800" s="803">
        <v>35</v>
      </c>
      <c r="AS800" s="803">
        <v>228</v>
      </c>
      <c r="AT800" s="803">
        <v>339</v>
      </c>
      <c r="AU800" s="803">
        <v>7.14</v>
      </c>
      <c r="AV800" s="803">
        <v>66.400000000000006</v>
      </c>
      <c r="AW800" s="803">
        <v>5500</v>
      </c>
      <c r="AX800" s="803">
        <v>13700</v>
      </c>
      <c r="AY800" s="803">
        <v>376</v>
      </c>
      <c r="AZ800" s="803">
        <v>8600</v>
      </c>
      <c r="BA800" s="803">
        <v>113</v>
      </c>
      <c r="BB800" s="803">
        <v>751</v>
      </c>
      <c r="BC800" s="803">
        <v>67.8</v>
      </c>
      <c r="BD800" s="803">
        <v>1150</v>
      </c>
      <c r="BE800" s="803">
        <v>0.67196244130929095</v>
      </c>
      <c r="BF800" s="803">
        <v>875</v>
      </c>
      <c r="BG800" s="803">
        <v>3500</v>
      </c>
      <c r="BH800" s="803">
        <v>21600</v>
      </c>
      <c r="BI800" s="803">
        <v>65600</v>
      </c>
      <c r="BJ800" s="803">
        <v>123</v>
      </c>
      <c r="BK800" s="803">
        <v>1580</v>
      </c>
      <c r="BL800" s="807">
        <v>4270</v>
      </c>
    </row>
    <row r="801" spans="35:64" x14ac:dyDescent="0.3">
      <c r="AI801" s="801" t="s">
        <v>1557</v>
      </c>
      <c r="AJ801" s="802">
        <v>32300</v>
      </c>
      <c r="AK801" s="803">
        <v>800</v>
      </c>
      <c r="AL801" s="803">
        <v>11</v>
      </c>
      <c r="AM801" s="803">
        <v>400</v>
      </c>
      <c r="AN801" s="803">
        <v>30</v>
      </c>
      <c r="AO801" s="803" t="s">
        <v>1558</v>
      </c>
      <c r="AP801" s="803">
        <v>29</v>
      </c>
      <c r="AQ801" s="803">
        <v>14</v>
      </c>
      <c r="AR801" s="803">
        <v>35</v>
      </c>
      <c r="AS801" s="803">
        <v>202</v>
      </c>
      <c r="AT801" s="803">
        <v>300</v>
      </c>
      <c r="AU801" s="803">
        <v>8.33</v>
      </c>
      <c r="AV801" s="803">
        <v>67.3</v>
      </c>
      <c r="AW801" s="803">
        <v>4840</v>
      </c>
      <c r="AX801" s="803">
        <v>12100</v>
      </c>
      <c r="AY801" s="803">
        <v>368</v>
      </c>
      <c r="AZ801" s="803">
        <v>7370</v>
      </c>
      <c r="BA801" s="803">
        <v>90.1</v>
      </c>
      <c r="BB801" s="803">
        <v>601</v>
      </c>
      <c r="BC801" s="803">
        <v>64.599999999999994</v>
      </c>
      <c r="BD801" s="803">
        <v>927</v>
      </c>
      <c r="BE801" s="803">
        <v>0.65370935439111566</v>
      </c>
      <c r="BF801" s="803">
        <v>880</v>
      </c>
      <c r="BG801" s="803">
        <v>1980</v>
      </c>
      <c r="BH801" s="803">
        <v>17400</v>
      </c>
      <c r="BI801" s="803">
        <v>66000</v>
      </c>
      <c r="BJ801" s="803">
        <v>99</v>
      </c>
      <c r="BK801" s="803">
        <v>1270</v>
      </c>
      <c r="BL801" s="807">
        <v>3660</v>
      </c>
    </row>
    <row r="802" spans="35:64" x14ac:dyDescent="0.3">
      <c r="AI802" s="801" t="s">
        <v>1559</v>
      </c>
      <c r="AJ802" s="802">
        <v>28400</v>
      </c>
      <c r="AK802" s="803">
        <v>800</v>
      </c>
      <c r="AL802" s="803">
        <v>11</v>
      </c>
      <c r="AM802" s="803">
        <v>400</v>
      </c>
      <c r="AN802" s="803">
        <v>25</v>
      </c>
      <c r="AO802" s="803" t="s">
        <v>1560</v>
      </c>
      <c r="AP802" s="803">
        <v>44</v>
      </c>
      <c r="AQ802" s="803">
        <v>14</v>
      </c>
      <c r="AR802" s="803">
        <v>31</v>
      </c>
      <c r="AS802" s="803">
        <v>170</v>
      </c>
      <c r="AT802" s="803">
        <v>253</v>
      </c>
      <c r="AU802" s="803">
        <v>6.67</v>
      </c>
      <c r="AV802" s="803">
        <v>67.3</v>
      </c>
      <c r="AW802" s="803">
        <v>3950</v>
      </c>
      <c r="AX802" s="803">
        <v>9870</v>
      </c>
      <c r="AY802" s="803">
        <v>357</v>
      </c>
      <c r="AZ802" s="803">
        <v>14900</v>
      </c>
      <c r="BA802" s="803">
        <v>729</v>
      </c>
      <c r="BB802" s="803">
        <v>2920</v>
      </c>
      <c r="BC802" s="803">
        <v>130</v>
      </c>
      <c r="BD802" s="803">
        <v>4400</v>
      </c>
      <c r="BE802" s="803">
        <v>1.267203844278626</v>
      </c>
      <c r="BF802" s="803">
        <v>765</v>
      </c>
      <c r="BG802" s="803">
        <v>14600</v>
      </c>
      <c r="BH802" s="803">
        <v>107000</v>
      </c>
      <c r="BI802" s="803">
        <v>95600</v>
      </c>
      <c r="BJ802" s="803">
        <v>418</v>
      </c>
      <c r="BK802" s="803">
        <v>3270</v>
      </c>
      <c r="BL802" s="807">
        <v>7430</v>
      </c>
    </row>
    <row r="803" spans="35:64" x14ac:dyDescent="0.3">
      <c r="AI803" s="801" t="s">
        <v>1561</v>
      </c>
      <c r="AJ803" s="802">
        <v>23400</v>
      </c>
      <c r="AK803" s="803">
        <v>800</v>
      </c>
      <c r="AL803" s="803">
        <v>11</v>
      </c>
      <c r="AM803" s="803">
        <v>300</v>
      </c>
      <c r="AN803" s="803">
        <v>25</v>
      </c>
      <c r="AO803" s="803" t="s">
        <v>1562</v>
      </c>
      <c r="AP803" s="803">
        <v>39</v>
      </c>
      <c r="AQ803" s="803">
        <v>14</v>
      </c>
      <c r="AR803" s="803">
        <v>31</v>
      </c>
      <c r="AS803" s="803">
        <v>150</v>
      </c>
      <c r="AT803" s="803">
        <v>223</v>
      </c>
      <c r="AU803" s="803">
        <v>8</v>
      </c>
      <c r="AV803" s="803">
        <v>68.2</v>
      </c>
      <c r="AW803" s="803">
        <v>3410</v>
      </c>
      <c r="AX803" s="803">
        <v>8520</v>
      </c>
      <c r="AY803" s="803">
        <v>356</v>
      </c>
      <c r="AZ803" s="803">
        <v>13100</v>
      </c>
      <c r="BA803" s="803">
        <v>625</v>
      </c>
      <c r="BB803" s="803">
        <v>2500</v>
      </c>
      <c r="BC803" s="803">
        <v>128</v>
      </c>
      <c r="BD803" s="803">
        <v>3770</v>
      </c>
      <c r="BE803" s="803">
        <v>1.2540569432465121</v>
      </c>
      <c r="BF803" s="803">
        <v>770</v>
      </c>
      <c r="BG803" s="803">
        <v>9330</v>
      </c>
      <c r="BH803" s="803">
        <v>92700</v>
      </c>
      <c r="BI803" s="803">
        <v>96300</v>
      </c>
      <c r="BJ803" s="803">
        <v>361</v>
      </c>
      <c r="BK803" s="803">
        <v>2820</v>
      </c>
      <c r="BL803" s="807">
        <v>6530</v>
      </c>
    </row>
    <row r="804" spans="35:64" x14ac:dyDescent="0.3">
      <c r="AI804" s="801" t="s">
        <v>1563</v>
      </c>
      <c r="AJ804" s="802">
        <v>20500</v>
      </c>
      <c r="AK804" s="803">
        <v>800</v>
      </c>
      <c r="AL804" s="803">
        <v>11</v>
      </c>
      <c r="AM804" s="803">
        <v>300</v>
      </c>
      <c r="AN804" s="803">
        <v>20</v>
      </c>
      <c r="AO804" s="803" t="s">
        <v>1564</v>
      </c>
      <c r="AP804" s="803">
        <v>39</v>
      </c>
      <c r="AQ804" s="803">
        <v>14</v>
      </c>
      <c r="AR804" s="803">
        <v>31</v>
      </c>
      <c r="AS804" s="803">
        <v>123</v>
      </c>
      <c r="AT804" s="803">
        <v>184</v>
      </c>
      <c r="AU804" s="803">
        <v>6</v>
      </c>
      <c r="AV804" s="803">
        <v>68.2</v>
      </c>
      <c r="AW804" s="803">
        <v>2660</v>
      </c>
      <c r="AX804" s="803">
        <v>6640</v>
      </c>
      <c r="AY804" s="803">
        <v>350</v>
      </c>
      <c r="AZ804" s="803">
        <v>10800</v>
      </c>
      <c r="BA804" s="803">
        <v>320</v>
      </c>
      <c r="BB804" s="803">
        <v>1600</v>
      </c>
      <c r="BC804" s="803">
        <v>99.6</v>
      </c>
      <c r="BD804" s="803">
        <v>2420</v>
      </c>
      <c r="BE804" s="803">
        <v>0.99296406582580488</v>
      </c>
      <c r="BF804" s="803">
        <v>770</v>
      </c>
      <c r="BG804" s="803">
        <v>7530</v>
      </c>
      <c r="BH804" s="803">
        <v>47400</v>
      </c>
      <c r="BI804" s="803">
        <v>77000</v>
      </c>
      <c r="BJ804" s="803">
        <v>231</v>
      </c>
      <c r="BK804" s="803">
        <v>2250</v>
      </c>
      <c r="BL804" s="807">
        <v>5370</v>
      </c>
    </row>
    <row r="805" spans="35:64" x14ac:dyDescent="0.3">
      <c r="AI805" s="801" t="s">
        <v>1565</v>
      </c>
      <c r="AJ805" s="802">
        <v>31200</v>
      </c>
      <c r="AK805" s="803">
        <v>700</v>
      </c>
      <c r="AL805" s="803">
        <v>11</v>
      </c>
      <c r="AM805" s="803">
        <v>400</v>
      </c>
      <c r="AN805" s="803">
        <v>30</v>
      </c>
      <c r="AO805" s="803" t="s">
        <v>1566</v>
      </c>
      <c r="AP805" s="803">
        <v>34</v>
      </c>
      <c r="AQ805" s="803">
        <v>14</v>
      </c>
      <c r="AR805" s="803">
        <v>31</v>
      </c>
      <c r="AS805" s="803">
        <v>108</v>
      </c>
      <c r="AT805" s="803">
        <v>161</v>
      </c>
      <c r="AU805" s="803">
        <v>7.5</v>
      </c>
      <c r="AV805" s="803">
        <v>69.099999999999994</v>
      </c>
      <c r="AW805" s="803">
        <v>2250</v>
      </c>
      <c r="AX805" s="803">
        <v>5610</v>
      </c>
      <c r="AY805" s="803">
        <v>347</v>
      </c>
      <c r="AZ805" s="803">
        <v>9340</v>
      </c>
      <c r="BA805" s="803">
        <v>267</v>
      </c>
      <c r="BB805" s="803">
        <v>1330</v>
      </c>
      <c r="BC805" s="803">
        <v>97</v>
      </c>
      <c r="BD805" s="803">
        <v>2020</v>
      </c>
      <c r="BE805" s="803">
        <v>0.97957280343814868</v>
      </c>
      <c r="BF805" s="803">
        <v>775</v>
      </c>
      <c r="BG805" s="803">
        <v>4500</v>
      </c>
      <c r="BH805" s="803">
        <v>40100</v>
      </c>
      <c r="BI805" s="803">
        <v>77500</v>
      </c>
      <c r="BJ805" s="803">
        <v>194</v>
      </c>
      <c r="BK805" s="803">
        <v>1880</v>
      </c>
      <c r="BL805" s="807">
        <v>4650</v>
      </c>
    </row>
    <row r="806" spans="35:64" x14ac:dyDescent="0.3">
      <c r="AI806" s="801" t="s">
        <v>1567</v>
      </c>
      <c r="AJ806" s="802">
        <v>27300</v>
      </c>
      <c r="AK806" s="803">
        <v>700</v>
      </c>
      <c r="AL806" s="803">
        <v>11</v>
      </c>
      <c r="AM806" s="803">
        <v>400</v>
      </c>
      <c r="AN806" s="803">
        <v>25</v>
      </c>
      <c r="AO806" s="803" t="s">
        <v>1568</v>
      </c>
      <c r="AP806" s="803">
        <v>34</v>
      </c>
      <c r="AQ806" s="803">
        <v>14</v>
      </c>
      <c r="AR806" s="803">
        <v>31</v>
      </c>
      <c r="AS806" s="803">
        <v>164</v>
      </c>
      <c r="AT806" s="803">
        <v>245</v>
      </c>
      <c r="AU806" s="803">
        <v>6.67</v>
      </c>
      <c r="AV806" s="803">
        <v>58.2</v>
      </c>
      <c r="AW806" s="803">
        <v>2950</v>
      </c>
      <c r="AX806" s="803">
        <v>8420</v>
      </c>
      <c r="AY806" s="803">
        <v>337</v>
      </c>
      <c r="AZ806" s="803">
        <v>7410</v>
      </c>
      <c r="BA806" s="803">
        <v>113</v>
      </c>
      <c r="BB806" s="803">
        <v>751</v>
      </c>
      <c r="BC806" s="803">
        <v>69.400000000000006</v>
      </c>
      <c r="BD806" s="803">
        <v>1150</v>
      </c>
      <c r="BE806" s="803">
        <v>0.72077625126093647</v>
      </c>
      <c r="BF806" s="803">
        <v>775</v>
      </c>
      <c r="BG806" s="803">
        <v>3460</v>
      </c>
      <c r="BH806" s="803">
        <v>16900</v>
      </c>
      <c r="BI806" s="803">
        <v>58100</v>
      </c>
      <c r="BJ806" s="803">
        <v>109</v>
      </c>
      <c r="BK806" s="803">
        <v>1400</v>
      </c>
      <c r="BL806" s="807">
        <v>3680</v>
      </c>
    </row>
    <row r="807" spans="35:64" x14ac:dyDescent="0.3">
      <c r="AI807" s="801" t="s">
        <v>1569</v>
      </c>
      <c r="AJ807" s="802">
        <v>24900</v>
      </c>
      <c r="AK807" s="803">
        <v>700</v>
      </c>
      <c r="AL807" s="803">
        <v>11</v>
      </c>
      <c r="AM807" s="803">
        <v>400</v>
      </c>
      <c r="AN807" s="803">
        <v>22</v>
      </c>
      <c r="AO807" s="803" t="s">
        <v>1570</v>
      </c>
      <c r="AP807" s="803">
        <v>29</v>
      </c>
      <c r="AQ807" s="803">
        <v>14</v>
      </c>
      <c r="AR807" s="803">
        <v>31</v>
      </c>
      <c r="AS807" s="803">
        <v>144</v>
      </c>
      <c r="AT807" s="803">
        <v>214</v>
      </c>
      <c r="AU807" s="803">
        <v>8</v>
      </c>
      <c r="AV807" s="803">
        <v>59.1</v>
      </c>
      <c r="AW807" s="803">
        <v>2540</v>
      </c>
      <c r="AX807" s="803">
        <v>7270</v>
      </c>
      <c r="AY807" s="803">
        <v>331</v>
      </c>
      <c r="AZ807" s="803">
        <v>6320</v>
      </c>
      <c r="BA807" s="803">
        <v>90.1</v>
      </c>
      <c r="BB807" s="803">
        <v>601</v>
      </c>
      <c r="BC807" s="803">
        <v>66.3</v>
      </c>
      <c r="BD807" s="803">
        <v>924</v>
      </c>
      <c r="BE807" s="803">
        <v>0.70270020539388489</v>
      </c>
      <c r="BF807" s="803">
        <v>780</v>
      </c>
      <c r="BG807" s="803">
        <v>1940</v>
      </c>
      <c r="BH807" s="803">
        <v>13700</v>
      </c>
      <c r="BI807" s="803">
        <v>58500</v>
      </c>
      <c r="BJ807" s="803">
        <v>87.8</v>
      </c>
      <c r="BK807" s="803">
        <v>1130</v>
      </c>
      <c r="BL807" s="807">
        <v>3130</v>
      </c>
    </row>
    <row r="808" spans="35:64" x14ac:dyDescent="0.3">
      <c r="AI808" s="801" t="s">
        <v>1571</v>
      </c>
      <c r="AJ808" s="802">
        <v>22300</v>
      </c>
      <c r="AK808" s="803">
        <v>700</v>
      </c>
      <c r="AL808" s="803">
        <v>11</v>
      </c>
      <c r="AM808" s="803">
        <v>300</v>
      </c>
      <c r="AN808" s="803">
        <v>25</v>
      </c>
      <c r="AO808" s="803" t="s">
        <v>1572</v>
      </c>
      <c r="AP808" s="803">
        <v>39</v>
      </c>
      <c r="AQ808" s="803">
        <v>14</v>
      </c>
      <c r="AR808" s="803">
        <v>28</v>
      </c>
      <c r="AS808" s="803">
        <v>132</v>
      </c>
      <c r="AT808" s="803">
        <v>196</v>
      </c>
      <c r="AU808" s="803">
        <v>9.09</v>
      </c>
      <c r="AV808" s="803">
        <v>59.6</v>
      </c>
      <c r="AW808" s="803">
        <v>2300</v>
      </c>
      <c r="AX808" s="803">
        <v>6560</v>
      </c>
      <c r="AY808" s="803">
        <v>308</v>
      </c>
      <c r="AZ808" s="803">
        <v>9210</v>
      </c>
      <c r="BA808" s="803">
        <v>320</v>
      </c>
      <c r="BB808" s="803">
        <v>1600</v>
      </c>
      <c r="BC808" s="803">
        <v>101</v>
      </c>
      <c r="BD808" s="803">
        <v>2420</v>
      </c>
      <c r="BE808" s="803">
        <v>1.07188970250475</v>
      </c>
      <c r="BF808" s="803">
        <v>670</v>
      </c>
      <c r="BG808" s="803">
        <v>7480</v>
      </c>
      <c r="BH808" s="803">
        <v>35900</v>
      </c>
      <c r="BI808" s="803">
        <v>67000</v>
      </c>
      <c r="BJ808" s="803">
        <v>201</v>
      </c>
      <c r="BK808" s="803">
        <v>1950</v>
      </c>
      <c r="BL808" s="807">
        <v>4580</v>
      </c>
    </row>
    <row r="809" spans="35:64" x14ac:dyDescent="0.3">
      <c r="AI809" s="801" t="s">
        <v>1573</v>
      </c>
      <c r="AJ809" s="802">
        <v>19400</v>
      </c>
      <c r="AK809" s="803">
        <v>700</v>
      </c>
      <c r="AL809" s="803">
        <v>11</v>
      </c>
      <c r="AM809" s="803">
        <v>300</v>
      </c>
      <c r="AN809" s="803">
        <v>20</v>
      </c>
      <c r="AO809" s="803" t="s">
        <v>1574</v>
      </c>
      <c r="AP809" s="803">
        <v>34</v>
      </c>
      <c r="AQ809" s="803">
        <v>14</v>
      </c>
      <c r="AR809" s="803">
        <v>28</v>
      </c>
      <c r="AS809" s="803">
        <v>117</v>
      </c>
      <c r="AT809" s="803">
        <v>175</v>
      </c>
      <c r="AU809" s="803">
        <v>6</v>
      </c>
      <c r="AV809" s="803">
        <v>59.1</v>
      </c>
      <c r="AW809" s="803">
        <v>1970</v>
      </c>
      <c r="AX809" s="803">
        <v>5640</v>
      </c>
      <c r="AY809" s="803">
        <v>305</v>
      </c>
      <c r="AZ809" s="803">
        <v>7950</v>
      </c>
      <c r="BA809" s="803">
        <v>267</v>
      </c>
      <c r="BB809" s="803">
        <v>1330</v>
      </c>
      <c r="BC809" s="803">
        <v>98.9</v>
      </c>
      <c r="BD809" s="803">
        <v>2020</v>
      </c>
      <c r="BE809" s="803">
        <v>1.0590814294531501</v>
      </c>
      <c r="BF809" s="803">
        <v>675</v>
      </c>
      <c r="BG809" s="803">
        <v>4460</v>
      </c>
      <c r="BH809" s="803">
        <v>30400</v>
      </c>
      <c r="BI809" s="803">
        <v>67500</v>
      </c>
      <c r="BJ809" s="803">
        <v>169</v>
      </c>
      <c r="BK809" s="803">
        <v>1640</v>
      </c>
      <c r="BL809" s="807">
        <v>3960</v>
      </c>
    </row>
    <row r="810" spans="35:64" x14ac:dyDescent="0.3">
      <c r="AI810" s="801" t="s">
        <v>1575</v>
      </c>
      <c r="AJ810" s="802">
        <v>110000</v>
      </c>
      <c r="AK810" s="803">
        <v>650</v>
      </c>
      <c r="AL810" s="803">
        <v>60</v>
      </c>
      <c r="AM810" s="803">
        <v>650</v>
      </c>
      <c r="AN810" s="803">
        <v>60</v>
      </c>
      <c r="AO810" s="803" t="s">
        <v>1576</v>
      </c>
      <c r="AP810" s="803">
        <v>31</v>
      </c>
      <c r="AQ810" s="803">
        <v>14</v>
      </c>
      <c r="AR810" s="803">
        <v>28</v>
      </c>
      <c r="AS810" s="803">
        <v>102</v>
      </c>
      <c r="AT810" s="803">
        <v>152</v>
      </c>
      <c r="AU810" s="803">
        <v>7.5</v>
      </c>
      <c r="AV810" s="803">
        <v>60</v>
      </c>
      <c r="AW810" s="803">
        <v>1660</v>
      </c>
      <c r="AX810" s="803">
        <v>4760</v>
      </c>
      <c r="AY810" s="803">
        <v>303</v>
      </c>
      <c r="AZ810" s="803">
        <v>7190</v>
      </c>
      <c r="BA810" s="803">
        <v>235</v>
      </c>
      <c r="BB810" s="803">
        <v>1170</v>
      </c>
      <c r="BC810" s="803">
        <v>97</v>
      </c>
      <c r="BD810" s="803">
        <v>1780</v>
      </c>
      <c r="BE810" s="803">
        <v>1.046511460200654</v>
      </c>
      <c r="BF810" s="803">
        <v>678</v>
      </c>
      <c r="BG810" s="803">
        <v>3130</v>
      </c>
      <c r="BH810" s="803">
        <v>27000</v>
      </c>
      <c r="BI810" s="803">
        <v>67800</v>
      </c>
      <c r="BJ810" s="803">
        <v>149</v>
      </c>
      <c r="BK810" s="803">
        <v>1450</v>
      </c>
      <c r="BL810" s="807">
        <v>3570</v>
      </c>
    </row>
    <row r="811" spans="35:64" x14ac:dyDescent="0.3">
      <c r="AI811" s="801" t="s">
        <v>1577</v>
      </c>
      <c r="AJ811" s="802">
        <v>94100</v>
      </c>
      <c r="AK811" s="803">
        <v>650</v>
      </c>
      <c r="AL811" s="803">
        <v>30</v>
      </c>
      <c r="AM811" s="803">
        <v>650</v>
      </c>
      <c r="AN811" s="803">
        <v>60</v>
      </c>
      <c r="AO811" s="803" t="s">
        <v>1578</v>
      </c>
      <c r="AP811" s="803">
        <v>34</v>
      </c>
      <c r="AQ811" s="803">
        <v>14</v>
      </c>
      <c r="AR811" s="803">
        <v>28</v>
      </c>
      <c r="AS811" s="803">
        <v>580</v>
      </c>
      <c r="AT811" s="803">
        <v>864</v>
      </c>
      <c r="AU811" s="803">
        <v>5.42</v>
      </c>
      <c r="AV811" s="803">
        <v>8.83</v>
      </c>
      <c r="AW811" s="803">
        <v>7570</v>
      </c>
      <c r="AX811" s="803">
        <v>23300</v>
      </c>
      <c r="AY811" s="803">
        <v>298</v>
      </c>
      <c r="AZ811" s="803">
        <v>6260</v>
      </c>
      <c r="BA811" s="803">
        <v>113</v>
      </c>
      <c r="BB811" s="803">
        <v>751</v>
      </c>
      <c r="BC811" s="803">
        <v>71.099999999999994</v>
      </c>
      <c r="BD811" s="803">
        <v>1150</v>
      </c>
      <c r="BE811" s="803">
        <v>0.78133807857442339</v>
      </c>
      <c r="BF811" s="803">
        <v>675</v>
      </c>
      <c r="BG811" s="803">
        <v>3410</v>
      </c>
      <c r="BH811" s="803">
        <v>12800</v>
      </c>
      <c r="BI811" s="803">
        <v>50600</v>
      </c>
      <c r="BJ811" s="803">
        <v>94.9</v>
      </c>
      <c r="BK811" s="803">
        <v>1220</v>
      </c>
      <c r="BL811" s="807">
        <v>3110</v>
      </c>
    </row>
    <row r="812" spans="35:64" x14ac:dyDescent="0.3">
      <c r="AI812" s="801" t="s">
        <v>1579</v>
      </c>
      <c r="AJ812" s="802">
        <v>76200</v>
      </c>
      <c r="AK812" s="803">
        <v>650</v>
      </c>
      <c r="AL812" s="803">
        <v>20</v>
      </c>
      <c r="AM812" s="803">
        <v>650</v>
      </c>
      <c r="AN812" s="803">
        <v>50</v>
      </c>
      <c r="AO812" s="803" t="s">
        <v>1580</v>
      </c>
      <c r="AP812" s="803">
        <v>29</v>
      </c>
      <c r="AQ812" s="803">
        <v>14</v>
      </c>
      <c r="AR812" s="803">
        <v>28</v>
      </c>
      <c r="AS812" s="803">
        <v>497</v>
      </c>
      <c r="AT812" s="803">
        <v>739</v>
      </c>
      <c r="AU812" s="803">
        <v>5.42</v>
      </c>
      <c r="AV812" s="803">
        <v>17.7</v>
      </c>
      <c r="AW812" s="803">
        <v>7200</v>
      </c>
      <c r="AX812" s="803">
        <v>22100</v>
      </c>
      <c r="AY812" s="803">
        <v>293</v>
      </c>
      <c r="AZ812" s="803">
        <v>5320</v>
      </c>
      <c r="BA812" s="803">
        <v>90.1</v>
      </c>
      <c r="BB812" s="803">
        <v>601</v>
      </c>
      <c r="BC812" s="803">
        <v>68.2</v>
      </c>
      <c r="BD812" s="803">
        <v>921</v>
      </c>
      <c r="BE812" s="803">
        <v>0.76363440774449354</v>
      </c>
      <c r="BF812" s="803">
        <v>680</v>
      </c>
      <c r="BG812" s="803">
        <v>1890</v>
      </c>
      <c r="BH812" s="803">
        <v>10400</v>
      </c>
      <c r="BI812" s="803">
        <v>51000</v>
      </c>
      <c r="BJ812" s="803">
        <v>76.5</v>
      </c>
      <c r="BK812" s="803">
        <v>983</v>
      </c>
      <c r="BL812" s="807">
        <v>2640</v>
      </c>
    </row>
    <row r="813" spans="35:64" x14ac:dyDescent="0.3">
      <c r="AI813" s="801" t="s">
        <v>1581</v>
      </c>
      <c r="AJ813" s="802">
        <v>63600</v>
      </c>
      <c r="AK813" s="803">
        <v>650</v>
      </c>
      <c r="AL813" s="803">
        <v>20</v>
      </c>
      <c r="AM813" s="803">
        <v>650</v>
      </c>
      <c r="AN813" s="803">
        <v>40</v>
      </c>
      <c r="AO813" s="803" t="s">
        <v>1582</v>
      </c>
      <c r="AP813" s="803">
        <v>71</v>
      </c>
      <c r="AQ813" s="803">
        <v>40</v>
      </c>
      <c r="AR813" s="803">
        <v>26</v>
      </c>
      <c r="AS813" s="803">
        <v>402</v>
      </c>
      <c r="AT813" s="803">
        <v>598</v>
      </c>
      <c r="AU813" s="803">
        <v>6.5</v>
      </c>
      <c r="AV813" s="803">
        <v>27.5</v>
      </c>
      <c r="AW813" s="803">
        <v>6150</v>
      </c>
      <c r="AX813" s="803">
        <v>18900</v>
      </c>
      <c r="AY813" s="803">
        <v>262</v>
      </c>
      <c r="AZ813" s="803">
        <v>27300</v>
      </c>
      <c r="BA813" s="803">
        <v>2760</v>
      </c>
      <c r="BB813" s="803">
        <v>8480</v>
      </c>
      <c r="BC813" s="803">
        <v>158</v>
      </c>
      <c r="BD813" s="803">
        <v>13200</v>
      </c>
      <c r="BE813" s="803">
        <v>1.843877824127224</v>
      </c>
      <c r="BF813" s="803">
        <v>590</v>
      </c>
      <c r="BG813" s="803">
        <v>132000</v>
      </c>
      <c r="BH813" s="803">
        <v>240000</v>
      </c>
      <c r="BI813" s="803">
        <v>95900</v>
      </c>
      <c r="BJ813" s="803">
        <v>935</v>
      </c>
      <c r="BK813" s="803">
        <v>5220</v>
      </c>
      <c r="BL813" s="807">
        <v>13600</v>
      </c>
    </row>
    <row r="814" spans="35:64" x14ac:dyDescent="0.3">
      <c r="AI814" s="801" t="s">
        <v>1583</v>
      </c>
      <c r="AJ814" s="802">
        <v>51000</v>
      </c>
      <c r="AK814" s="803">
        <v>650</v>
      </c>
      <c r="AL814" s="803">
        <v>20</v>
      </c>
      <c r="AM814" s="803">
        <v>650</v>
      </c>
      <c r="AN814" s="803">
        <v>30</v>
      </c>
      <c r="AO814" s="803" t="s">
        <v>1584</v>
      </c>
      <c r="AP814" s="803">
        <v>71</v>
      </c>
      <c r="AQ814" s="803">
        <v>25</v>
      </c>
      <c r="AR814" s="803">
        <v>26</v>
      </c>
      <c r="AS814" s="803">
        <v>336</v>
      </c>
      <c r="AT814" s="803">
        <v>499</v>
      </c>
      <c r="AU814" s="803">
        <v>8.1300000000000008</v>
      </c>
      <c r="AV814" s="803">
        <v>28.5</v>
      </c>
      <c r="AW814" s="803">
        <v>5170</v>
      </c>
      <c r="AX814" s="803">
        <v>15900</v>
      </c>
      <c r="AY814" s="803">
        <v>277</v>
      </c>
      <c r="AZ814" s="803">
        <v>25200</v>
      </c>
      <c r="BA814" s="803">
        <v>2750</v>
      </c>
      <c r="BB814" s="803">
        <v>8450</v>
      </c>
      <c r="BC814" s="803">
        <v>171</v>
      </c>
      <c r="BD814" s="803">
        <v>12800</v>
      </c>
      <c r="BE814" s="803">
        <v>1.8869761041363879</v>
      </c>
      <c r="BF814" s="803">
        <v>590</v>
      </c>
      <c r="BG814" s="803">
        <v>98400</v>
      </c>
      <c r="BH814" s="803">
        <v>239000</v>
      </c>
      <c r="BI814" s="803">
        <v>95900</v>
      </c>
      <c r="BJ814" s="803">
        <v>935</v>
      </c>
      <c r="BK814" s="803">
        <v>5490</v>
      </c>
      <c r="BL814" s="807">
        <v>12600</v>
      </c>
    </row>
    <row r="815" spans="35:64" x14ac:dyDescent="0.3">
      <c r="AI815" s="801" t="s">
        <v>1585</v>
      </c>
      <c r="AJ815" s="802">
        <v>101000</v>
      </c>
      <c r="AK815" s="803">
        <v>600</v>
      </c>
      <c r="AL815" s="803">
        <v>60</v>
      </c>
      <c r="AM815" s="803">
        <v>600</v>
      </c>
      <c r="AN815" s="803">
        <v>60</v>
      </c>
      <c r="AO815" s="803" t="s">
        <v>1586</v>
      </c>
      <c r="AP815" s="803">
        <v>61</v>
      </c>
      <c r="AQ815" s="803">
        <v>20</v>
      </c>
      <c r="AR815" s="803">
        <v>26</v>
      </c>
      <c r="AS815" s="803">
        <v>269</v>
      </c>
      <c r="AT815" s="803">
        <v>400</v>
      </c>
      <c r="AU815" s="803">
        <v>10.8</v>
      </c>
      <c r="AV815" s="803">
        <v>29.5</v>
      </c>
      <c r="AW815" s="803">
        <v>4110</v>
      </c>
      <c r="AX815" s="803">
        <v>12600</v>
      </c>
      <c r="AY815" s="803">
        <v>284</v>
      </c>
      <c r="AZ815" s="803">
        <v>21100</v>
      </c>
      <c r="BA815" s="803">
        <v>2290</v>
      </c>
      <c r="BB815" s="803">
        <v>7040</v>
      </c>
      <c r="BC815" s="803">
        <v>173</v>
      </c>
      <c r="BD815" s="803">
        <v>10600</v>
      </c>
      <c r="BE815" s="803">
        <v>1.879265399773187</v>
      </c>
      <c r="BF815" s="803">
        <v>600</v>
      </c>
      <c r="BG815" s="803">
        <v>55600</v>
      </c>
      <c r="BH815" s="803">
        <v>206000</v>
      </c>
      <c r="BI815" s="803">
        <v>97500</v>
      </c>
      <c r="BJ815" s="803">
        <v>792</v>
      </c>
      <c r="BK815" s="803">
        <v>4730</v>
      </c>
      <c r="BL815" s="807">
        <v>10500</v>
      </c>
    </row>
    <row r="816" spans="35:64" x14ac:dyDescent="0.3">
      <c r="AI816" s="801" t="s">
        <v>1587</v>
      </c>
      <c r="AJ816" s="802">
        <v>86600</v>
      </c>
      <c r="AK816" s="803">
        <v>600</v>
      </c>
      <c r="AL816" s="803">
        <v>30</v>
      </c>
      <c r="AM816" s="803">
        <v>600</v>
      </c>
      <c r="AN816" s="803">
        <v>60</v>
      </c>
      <c r="AO816" s="803" t="s">
        <v>1588</v>
      </c>
      <c r="AP816" s="803">
        <v>51</v>
      </c>
      <c r="AQ816" s="803">
        <v>20</v>
      </c>
      <c r="AR816" s="803">
        <v>26</v>
      </c>
      <c r="AS816" s="803">
        <v>531</v>
      </c>
      <c r="AT816" s="803">
        <v>793</v>
      </c>
      <c r="AU816" s="803">
        <v>5</v>
      </c>
      <c r="AV816" s="803">
        <v>8</v>
      </c>
      <c r="AW816" s="803">
        <v>5830</v>
      </c>
      <c r="AX816" s="803">
        <v>19400</v>
      </c>
      <c r="AY816" s="803">
        <v>285</v>
      </c>
      <c r="AZ816" s="803">
        <v>17500</v>
      </c>
      <c r="BA816" s="803">
        <v>1830</v>
      </c>
      <c r="BB816" s="803">
        <v>5630</v>
      </c>
      <c r="BC816" s="803">
        <v>170</v>
      </c>
      <c r="BD816" s="803">
        <v>8510</v>
      </c>
      <c r="BE816" s="803">
        <v>1.8470545898126729</v>
      </c>
      <c r="BF816" s="803">
        <v>610</v>
      </c>
      <c r="BG816" s="803">
        <v>29300</v>
      </c>
      <c r="BH816" s="803">
        <v>170000</v>
      </c>
      <c r="BI816" s="803">
        <v>99100</v>
      </c>
      <c r="BJ816" s="803">
        <v>644</v>
      </c>
      <c r="BK816" s="803">
        <v>3840</v>
      </c>
      <c r="BL816" s="807">
        <v>8740</v>
      </c>
    </row>
    <row r="817" spans="35:64" x14ac:dyDescent="0.3">
      <c r="AI817" s="801" t="s">
        <v>1589</v>
      </c>
      <c r="AJ817" s="802">
        <v>70200</v>
      </c>
      <c r="AK817" s="803">
        <v>600</v>
      </c>
      <c r="AL817" s="803">
        <v>20</v>
      </c>
      <c r="AM817" s="803">
        <v>600</v>
      </c>
      <c r="AN817" s="803">
        <v>50</v>
      </c>
      <c r="AO817" s="803" t="s">
        <v>1590</v>
      </c>
      <c r="AP817" s="803">
        <v>41</v>
      </c>
      <c r="AQ817" s="803">
        <v>20</v>
      </c>
      <c r="AR817" s="803">
        <v>26</v>
      </c>
      <c r="AS817" s="803">
        <v>456</v>
      </c>
      <c r="AT817" s="803">
        <v>680</v>
      </c>
      <c r="AU817" s="803">
        <v>5</v>
      </c>
      <c r="AV817" s="803">
        <v>16</v>
      </c>
      <c r="AW817" s="803">
        <v>5560</v>
      </c>
      <c r="AX817" s="803">
        <v>18500</v>
      </c>
      <c r="AY817" s="803">
        <v>284</v>
      </c>
      <c r="AZ817" s="803">
        <v>13900</v>
      </c>
      <c r="BA817" s="803">
        <v>1370</v>
      </c>
      <c r="BB817" s="803">
        <v>4230</v>
      </c>
      <c r="BC817" s="803">
        <v>164</v>
      </c>
      <c r="BD817" s="803">
        <v>6400</v>
      </c>
      <c r="BE817" s="803">
        <v>1.808850664059626</v>
      </c>
      <c r="BF817" s="803">
        <v>620</v>
      </c>
      <c r="BG817" s="803">
        <v>13300</v>
      </c>
      <c r="BH817" s="803">
        <v>132000</v>
      </c>
      <c r="BI817" s="803">
        <v>101000</v>
      </c>
      <c r="BJ817" s="803">
        <v>491</v>
      </c>
      <c r="BK817" s="803">
        <v>2930</v>
      </c>
      <c r="BL817" s="807">
        <v>6920</v>
      </c>
    </row>
    <row r="818" spans="35:64" x14ac:dyDescent="0.3">
      <c r="AI818" s="801" t="s">
        <v>1591</v>
      </c>
      <c r="AJ818" s="802">
        <v>58600</v>
      </c>
      <c r="AK818" s="803">
        <v>600</v>
      </c>
      <c r="AL818" s="803">
        <v>20</v>
      </c>
      <c r="AM818" s="803">
        <v>600</v>
      </c>
      <c r="AN818" s="803">
        <v>40</v>
      </c>
      <c r="AO818" s="803" t="s">
        <v>1592</v>
      </c>
      <c r="AP818" s="803">
        <v>71</v>
      </c>
      <c r="AQ818" s="803">
        <v>40</v>
      </c>
      <c r="AR818" s="803">
        <v>24</v>
      </c>
      <c r="AS818" s="803">
        <v>371</v>
      </c>
      <c r="AT818" s="803">
        <v>551</v>
      </c>
      <c r="AU818" s="803">
        <v>6</v>
      </c>
      <c r="AV818" s="803">
        <v>25</v>
      </c>
      <c r="AW818" s="803">
        <v>4770</v>
      </c>
      <c r="AX818" s="803">
        <v>15900</v>
      </c>
      <c r="AY818" s="803">
        <v>240</v>
      </c>
      <c r="AZ818" s="803">
        <v>22900</v>
      </c>
      <c r="BA818" s="803">
        <v>2170</v>
      </c>
      <c r="BB818" s="803">
        <v>7230</v>
      </c>
      <c r="BC818" s="803">
        <v>147</v>
      </c>
      <c r="BD818" s="803">
        <v>11200</v>
      </c>
      <c r="BE818" s="803">
        <v>1.78215276121788</v>
      </c>
      <c r="BF818" s="803">
        <v>540</v>
      </c>
      <c r="BG818" s="803">
        <v>121000</v>
      </c>
      <c r="BH818" s="803">
        <v>158000</v>
      </c>
      <c r="BI818" s="803">
        <v>81000</v>
      </c>
      <c r="BJ818" s="803">
        <v>729</v>
      </c>
      <c r="BK818" s="803">
        <v>4370</v>
      </c>
      <c r="BL818" s="807">
        <v>11400</v>
      </c>
    </row>
    <row r="819" spans="35:64" x14ac:dyDescent="0.3">
      <c r="AI819" s="801" t="s">
        <v>1593</v>
      </c>
      <c r="AJ819" s="802">
        <v>47000</v>
      </c>
      <c r="AK819" s="803">
        <v>600</v>
      </c>
      <c r="AL819" s="803">
        <v>20</v>
      </c>
      <c r="AM819" s="803">
        <v>600</v>
      </c>
      <c r="AN819" s="803">
        <v>30</v>
      </c>
      <c r="AO819" s="803" t="s">
        <v>1594</v>
      </c>
      <c r="AP819" s="803">
        <v>71</v>
      </c>
      <c r="AQ819" s="803">
        <v>25</v>
      </c>
      <c r="AR819" s="803">
        <v>24</v>
      </c>
      <c r="AS819" s="803">
        <v>309</v>
      </c>
      <c r="AT819" s="803">
        <v>460</v>
      </c>
      <c r="AU819" s="803">
        <v>7.5</v>
      </c>
      <c r="AV819" s="803">
        <v>26</v>
      </c>
      <c r="AW819" s="803">
        <v>4020</v>
      </c>
      <c r="AX819" s="803">
        <v>13400</v>
      </c>
      <c r="AY819" s="803">
        <v>253</v>
      </c>
      <c r="AZ819" s="803">
        <v>21200</v>
      </c>
      <c r="BA819" s="803">
        <v>2160</v>
      </c>
      <c r="BB819" s="803">
        <v>7200</v>
      </c>
      <c r="BC819" s="803">
        <v>158</v>
      </c>
      <c r="BD819" s="803">
        <v>10900</v>
      </c>
      <c r="BE819" s="803">
        <v>1.8228054303879879</v>
      </c>
      <c r="BF819" s="803">
        <v>540</v>
      </c>
      <c r="BG819" s="803">
        <v>90700</v>
      </c>
      <c r="BH819" s="803">
        <v>158000</v>
      </c>
      <c r="BI819" s="803">
        <v>81000</v>
      </c>
      <c r="BJ819" s="803">
        <v>729</v>
      </c>
      <c r="BK819" s="803">
        <v>4620</v>
      </c>
      <c r="BL819" s="807">
        <v>10600</v>
      </c>
    </row>
    <row r="820" spans="35:64" x14ac:dyDescent="0.3">
      <c r="AI820" s="801" t="s">
        <v>1595</v>
      </c>
      <c r="AJ820" s="802">
        <v>92000</v>
      </c>
      <c r="AK820" s="803">
        <v>550</v>
      </c>
      <c r="AL820" s="803">
        <v>60</v>
      </c>
      <c r="AM820" s="803">
        <v>550</v>
      </c>
      <c r="AN820" s="803">
        <v>60</v>
      </c>
      <c r="AO820" s="803" t="s">
        <v>1596</v>
      </c>
      <c r="AP820" s="803">
        <v>61</v>
      </c>
      <c r="AQ820" s="803">
        <v>20</v>
      </c>
      <c r="AR820" s="803">
        <v>24</v>
      </c>
      <c r="AS820" s="803">
        <v>248</v>
      </c>
      <c r="AT820" s="803">
        <v>369</v>
      </c>
      <c r="AU820" s="803">
        <v>10</v>
      </c>
      <c r="AV820" s="803">
        <v>27</v>
      </c>
      <c r="AW820" s="803">
        <v>3200</v>
      </c>
      <c r="AX820" s="803">
        <v>10700</v>
      </c>
      <c r="AY820" s="803">
        <v>261</v>
      </c>
      <c r="AZ820" s="803">
        <v>17800</v>
      </c>
      <c r="BA820" s="803">
        <v>1800</v>
      </c>
      <c r="BB820" s="803">
        <v>6000</v>
      </c>
      <c r="BC820" s="803">
        <v>160</v>
      </c>
      <c r="BD820" s="803">
        <v>9050</v>
      </c>
      <c r="BE820" s="803">
        <v>1.8111051430261229</v>
      </c>
      <c r="BF820" s="803">
        <v>550</v>
      </c>
      <c r="BG820" s="803">
        <v>51300</v>
      </c>
      <c r="BH820" s="803">
        <v>136000</v>
      </c>
      <c r="BI820" s="803">
        <v>82500</v>
      </c>
      <c r="BJ820" s="803">
        <v>619</v>
      </c>
      <c r="BK820" s="803">
        <v>3990</v>
      </c>
      <c r="BL820" s="807">
        <v>8880</v>
      </c>
    </row>
    <row r="821" spans="35:64" x14ac:dyDescent="0.3">
      <c r="AI821" s="801" t="s">
        <v>1597</v>
      </c>
      <c r="AJ821" s="802">
        <v>79100</v>
      </c>
      <c r="AK821" s="803">
        <v>550</v>
      </c>
      <c r="AL821" s="803">
        <v>30</v>
      </c>
      <c r="AM821" s="803">
        <v>550</v>
      </c>
      <c r="AN821" s="803">
        <v>60</v>
      </c>
      <c r="AO821" s="803" t="s">
        <v>1598</v>
      </c>
      <c r="AP821" s="803">
        <v>51</v>
      </c>
      <c r="AQ821" s="803">
        <v>20</v>
      </c>
      <c r="AR821" s="803">
        <v>24</v>
      </c>
      <c r="AS821" s="803">
        <v>484</v>
      </c>
      <c r="AT821" s="803">
        <v>721</v>
      </c>
      <c r="AU821" s="803">
        <v>4.58</v>
      </c>
      <c r="AV821" s="803">
        <v>7.17</v>
      </c>
      <c r="AW821" s="803">
        <v>4390</v>
      </c>
      <c r="AX821" s="803">
        <v>16000</v>
      </c>
      <c r="AY821" s="803">
        <v>262</v>
      </c>
      <c r="AZ821" s="803">
        <v>14800</v>
      </c>
      <c r="BA821" s="803">
        <v>1440</v>
      </c>
      <c r="BB821" s="803">
        <v>4800</v>
      </c>
      <c r="BC821" s="803">
        <v>157</v>
      </c>
      <c r="BD821" s="803">
        <v>7250</v>
      </c>
      <c r="BE821" s="803">
        <v>1.781341588395571</v>
      </c>
      <c r="BF821" s="803">
        <v>560</v>
      </c>
      <c r="BG821" s="803">
        <v>27000</v>
      </c>
      <c r="BH821" s="803">
        <v>113000</v>
      </c>
      <c r="BI821" s="803">
        <v>84000</v>
      </c>
      <c r="BJ821" s="803">
        <v>504</v>
      </c>
      <c r="BK821" s="803">
        <v>3250</v>
      </c>
      <c r="BL821" s="807">
        <v>7400</v>
      </c>
    </row>
    <row r="822" spans="35:64" x14ac:dyDescent="0.3">
      <c r="AI822" s="801" t="s">
        <v>1599</v>
      </c>
      <c r="AJ822" s="802">
        <v>64200</v>
      </c>
      <c r="AK822" s="803">
        <v>550</v>
      </c>
      <c r="AL822" s="803">
        <v>20</v>
      </c>
      <c r="AM822" s="803">
        <v>550</v>
      </c>
      <c r="AN822" s="803">
        <v>50</v>
      </c>
      <c r="AO822" s="803" t="s">
        <v>1600</v>
      </c>
      <c r="AP822" s="803">
        <v>41</v>
      </c>
      <c r="AQ822" s="803">
        <v>20</v>
      </c>
      <c r="AR822" s="803">
        <v>24</v>
      </c>
      <c r="AS822" s="803">
        <v>416</v>
      </c>
      <c r="AT822" s="803">
        <v>620</v>
      </c>
      <c r="AU822" s="803">
        <v>4.58</v>
      </c>
      <c r="AV822" s="803">
        <v>14.3</v>
      </c>
      <c r="AW822" s="803">
        <v>4190</v>
      </c>
      <c r="AX822" s="803">
        <v>15200</v>
      </c>
      <c r="AY822" s="803">
        <v>261</v>
      </c>
      <c r="AZ822" s="803">
        <v>11800</v>
      </c>
      <c r="BA822" s="803">
        <v>1080</v>
      </c>
      <c r="BB822" s="803">
        <v>3600</v>
      </c>
      <c r="BC822" s="803">
        <v>152</v>
      </c>
      <c r="BD822" s="803">
        <v>5460</v>
      </c>
      <c r="BE822" s="803">
        <v>1.744434144443479</v>
      </c>
      <c r="BF822" s="803">
        <v>570</v>
      </c>
      <c r="BG822" s="803">
        <v>12200</v>
      </c>
      <c r="BH822" s="803">
        <v>87800</v>
      </c>
      <c r="BI822" s="803">
        <v>85500</v>
      </c>
      <c r="BJ822" s="803">
        <v>385</v>
      </c>
      <c r="BK822" s="803">
        <v>2480</v>
      </c>
      <c r="BL822" s="807">
        <v>5860</v>
      </c>
    </row>
    <row r="823" spans="35:64" x14ac:dyDescent="0.3">
      <c r="AI823" s="801" t="s">
        <v>1601</v>
      </c>
      <c r="AJ823" s="802">
        <v>53600</v>
      </c>
      <c r="AK823" s="803">
        <v>550</v>
      </c>
      <c r="AL823" s="803">
        <v>20</v>
      </c>
      <c r="AM823" s="803">
        <v>550</v>
      </c>
      <c r="AN823" s="803">
        <v>40</v>
      </c>
      <c r="AO823" s="803" t="s">
        <v>1602</v>
      </c>
      <c r="AP823" s="803">
        <v>71</v>
      </c>
      <c r="AQ823" s="803">
        <v>40</v>
      </c>
      <c r="AR823" s="803">
        <v>22</v>
      </c>
      <c r="AS823" s="803">
        <v>338</v>
      </c>
      <c r="AT823" s="803">
        <v>503</v>
      </c>
      <c r="AU823" s="803">
        <v>5.5</v>
      </c>
      <c r="AV823" s="803">
        <v>22.5</v>
      </c>
      <c r="AW823" s="803">
        <v>3610</v>
      </c>
      <c r="AX823" s="803">
        <v>13100</v>
      </c>
      <c r="AY823" s="803">
        <v>218</v>
      </c>
      <c r="AZ823" s="803">
        <v>19000</v>
      </c>
      <c r="BA823" s="803">
        <v>1670</v>
      </c>
      <c r="BB823" s="803">
        <v>6080</v>
      </c>
      <c r="BC823" s="803">
        <v>135</v>
      </c>
      <c r="BD823" s="803">
        <v>9470</v>
      </c>
      <c r="BE823" s="803">
        <v>1.7157217534182629</v>
      </c>
      <c r="BF823" s="803">
        <v>490</v>
      </c>
      <c r="BG823" s="803">
        <v>110000</v>
      </c>
      <c r="BH823" s="803">
        <v>100000</v>
      </c>
      <c r="BI823" s="803">
        <v>67400</v>
      </c>
      <c r="BJ823" s="803">
        <v>556</v>
      </c>
      <c r="BK823" s="803">
        <v>3600</v>
      </c>
      <c r="BL823" s="807">
        <v>9470</v>
      </c>
    </row>
    <row r="824" spans="35:64" x14ac:dyDescent="0.3">
      <c r="AI824" s="801" t="s">
        <v>1603</v>
      </c>
      <c r="AJ824" s="802">
        <v>35600</v>
      </c>
      <c r="AK824" s="803">
        <v>550</v>
      </c>
      <c r="AL824" s="803">
        <v>16</v>
      </c>
      <c r="AM824" s="803">
        <v>550</v>
      </c>
      <c r="AN824" s="803">
        <v>25</v>
      </c>
      <c r="AO824" s="803" t="s">
        <v>1604</v>
      </c>
      <c r="AP824" s="803">
        <v>71</v>
      </c>
      <c r="AQ824" s="803">
        <v>25</v>
      </c>
      <c r="AR824" s="803">
        <v>22</v>
      </c>
      <c r="AS824" s="803">
        <v>282</v>
      </c>
      <c r="AT824" s="803">
        <v>420</v>
      </c>
      <c r="AU824" s="803">
        <v>6.88</v>
      </c>
      <c r="AV824" s="803">
        <v>23.5</v>
      </c>
      <c r="AW824" s="803">
        <v>3050</v>
      </c>
      <c r="AX824" s="803">
        <v>11100</v>
      </c>
      <c r="AY824" s="803">
        <v>230</v>
      </c>
      <c r="AZ824" s="803">
        <v>17600</v>
      </c>
      <c r="BA824" s="803">
        <v>1660</v>
      </c>
      <c r="BB824" s="803">
        <v>6050</v>
      </c>
      <c r="BC824" s="803">
        <v>145</v>
      </c>
      <c r="BD824" s="803">
        <v>9180</v>
      </c>
      <c r="BE824" s="803">
        <v>1.7531189435066921</v>
      </c>
      <c r="BF824" s="803">
        <v>490</v>
      </c>
      <c r="BG824" s="803">
        <v>83100</v>
      </c>
      <c r="BH824" s="803">
        <v>99900</v>
      </c>
      <c r="BI824" s="803">
        <v>67400</v>
      </c>
      <c r="BJ824" s="803">
        <v>556</v>
      </c>
      <c r="BK824" s="803">
        <v>3820</v>
      </c>
      <c r="BL824" s="807">
        <v>8780</v>
      </c>
    </row>
    <row r="825" spans="35:64" x14ac:dyDescent="0.3">
      <c r="AI825" s="801" t="s">
        <v>1605</v>
      </c>
      <c r="AJ825" s="802">
        <v>83000</v>
      </c>
      <c r="AK825" s="803">
        <v>500</v>
      </c>
      <c r="AL825" s="803">
        <v>60</v>
      </c>
      <c r="AM825" s="803">
        <v>500</v>
      </c>
      <c r="AN825" s="803">
        <v>60</v>
      </c>
      <c r="AO825" s="803" t="s">
        <v>1606</v>
      </c>
      <c r="AP825" s="803">
        <v>61</v>
      </c>
      <c r="AQ825" s="803">
        <v>20</v>
      </c>
      <c r="AR825" s="803">
        <v>22</v>
      </c>
      <c r="AS825" s="803">
        <v>188</v>
      </c>
      <c r="AT825" s="803">
        <v>280</v>
      </c>
      <c r="AU825" s="803">
        <v>11</v>
      </c>
      <c r="AV825" s="803">
        <v>31.3</v>
      </c>
      <c r="AW825" s="803">
        <v>2070</v>
      </c>
      <c r="AX825" s="803">
        <v>7530</v>
      </c>
      <c r="AY825" s="803">
        <v>237</v>
      </c>
      <c r="AZ825" s="803">
        <v>14800</v>
      </c>
      <c r="BA825" s="803">
        <v>1390</v>
      </c>
      <c r="BB825" s="803">
        <v>5040</v>
      </c>
      <c r="BC825" s="803">
        <v>147</v>
      </c>
      <c r="BD825" s="803">
        <v>7610</v>
      </c>
      <c r="BE825" s="803">
        <v>1.743832925954774</v>
      </c>
      <c r="BF825" s="803">
        <v>500</v>
      </c>
      <c r="BG825" s="803">
        <v>47000</v>
      </c>
      <c r="BH825" s="803">
        <v>86700</v>
      </c>
      <c r="BI825" s="803">
        <v>68800</v>
      </c>
      <c r="BJ825" s="803">
        <v>473</v>
      </c>
      <c r="BK825" s="803">
        <v>3310</v>
      </c>
      <c r="BL825" s="807">
        <v>7380</v>
      </c>
    </row>
    <row r="826" spans="35:64" x14ac:dyDescent="0.3">
      <c r="AI826" s="801" t="s">
        <v>1607</v>
      </c>
      <c r="AJ826" s="802">
        <v>71600</v>
      </c>
      <c r="AK826" s="803">
        <v>500</v>
      </c>
      <c r="AL826" s="803">
        <v>30</v>
      </c>
      <c r="AM826" s="803">
        <v>500</v>
      </c>
      <c r="AN826" s="803">
        <v>60</v>
      </c>
      <c r="AO826" s="803" t="s">
        <v>1608</v>
      </c>
      <c r="AP826" s="803">
        <v>51</v>
      </c>
      <c r="AQ826" s="803">
        <v>20</v>
      </c>
      <c r="AR826" s="803">
        <v>22</v>
      </c>
      <c r="AS826" s="803">
        <v>437</v>
      </c>
      <c r="AT826" s="803">
        <v>651</v>
      </c>
      <c r="AU826" s="803">
        <v>4.17</v>
      </c>
      <c r="AV826" s="803">
        <v>6.33</v>
      </c>
      <c r="AW826" s="803">
        <v>3200</v>
      </c>
      <c r="AX826" s="803">
        <v>12800</v>
      </c>
      <c r="AY826" s="803">
        <v>239</v>
      </c>
      <c r="AZ826" s="803">
        <v>12400</v>
      </c>
      <c r="BA826" s="803">
        <v>1110</v>
      </c>
      <c r="BB826" s="803">
        <v>4030</v>
      </c>
      <c r="BC826" s="803">
        <v>144</v>
      </c>
      <c r="BD826" s="803">
        <v>6100</v>
      </c>
      <c r="BE826" s="803">
        <v>1.712634313970248</v>
      </c>
      <c r="BF826" s="803">
        <v>510</v>
      </c>
      <c r="BG826" s="803">
        <v>24700</v>
      </c>
      <c r="BH826" s="803">
        <v>72100</v>
      </c>
      <c r="BI826" s="803">
        <v>70100</v>
      </c>
      <c r="BJ826" s="803">
        <v>386</v>
      </c>
      <c r="BK826" s="803">
        <v>2700</v>
      </c>
      <c r="BL826" s="807">
        <v>6160</v>
      </c>
    </row>
    <row r="827" spans="35:64" x14ac:dyDescent="0.3">
      <c r="AI827" s="801" t="s">
        <v>1609</v>
      </c>
      <c r="AJ827" s="802">
        <v>58200</v>
      </c>
      <c r="AK827" s="803">
        <v>500</v>
      </c>
      <c r="AL827" s="803">
        <v>20</v>
      </c>
      <c r="AM827" s="803">
        <v>500</v>
      </c>
      <c r="AN827" s="803">
        <v>50</v>
      </c>
      <c r="AO827" s="803" t="s">
        <v>1610</v>
      </c>
      <c r="AP827" s="803">
        <v>34</v>
      </c>
      <c r="AQ827" s="803">
        <v>16</v>
      </c>
      <c r="AR827" s="803">
        <v>22</v>
      </c>
      <c r="AS827" s="803">
        <v>377</v>
      </c>
      <c r="AT827" s="803">
        <v>561</v>
      </c>
      <c r="AU827" s="803">
        <v>4.17</v>
      </c>
      <c r="AV827" s="803">
        <v>12.7</v>
      </c>
      <c r="AW827" s="803">
        <v>3070</v>
      </c>
      <c r="AX827" s="803">
        <v>12300</v>
      </c>
      <c r="AY827" s="803">
        <v>241</v>
      </c>
      <c r="AZ827" s="803">
        <v>8250</v>
      </c>
      <c r="BA827" s="803">
        <v>693</v>
      </c>
      <c r="BB827" s="803">
        <v>2520</v>
      </c>
      <c r="BC827" s="803">
        <v>140</v>
      </c>
      <c r="BD827" s="803">
        <v>3810</v>
      </c>
      <c r="BE827" s="803">
        <v>1.6674587923820969</v>
      </c>
      <c r="BF827" s="803">
        <v>525</v>
      </c>
      <c r="BG827" s="803">
        <v>6410</v>
      </c>
      <c r="BH827" s="803">
        <v>47800</v>
      </c>
      <c r="BI827" s="803">
        <v>72200</v>
      </c>
      <c r="BJ827" s="803">
        <v>248</v>
      </c>
      <c r="BK827" s="803">
        <v>1750</v>
      </c>
      <c r="BL827" s="807">
        <v>4110</v>
      </c>
    </row>
    <row r="828" spans="35:64" x14ac:dyDescent="0.3">
      <c r="AI828" s="801" t="s">
        <v>1611</v>
      </c>
      <c r="AJ828" s="802">
        <v>48600</v>
      </c>
      <c r="AK828" s="803">
        <v>500</v>
      </c>
      <c r="AL828" s="803">
        <v>20</v>
      </c>
      <c r="AM828" s="803">
        <v>500</v>
      </c>
      <c r="AN828" s="803">
        <v>40</v>
      </c>
      <c r="AO828" s="803" t="s">
        <v>1612</v>
      </c>
      <c r="AP828" s="803">
        <v>71</v>
      </c>
      <c r="AQ828" s="803">
        <v>40</v>
      </c>
      <c r="AR828" s="803">
        <v>20</v>
      </c>
      <c r="AS828" s="803">
        <v>306</v>
      </c>
      <c r="AT828" s="803">
        <v>456</v>
      </c>
      <c r="AU828" s="803">
        <v>5</v>
      </c>
      <c r="AV828" s="803">
        <v>20</v>
      </c>
      <c r="AW828" s="803">
        <v>2660</v>
      </c>
      <c r="AX828" s="803">
        <v>10600</v>
      </c>
      <c r="AY828" s="803">
        <v>196</v>
      </c>
      <c r="AZ828" s="803">
        <v>15400</v>
      </c>
      <c r="BA828" s="803">
        <v>1260</v>
      </c>
      <c r="BB828" s="803">
        <v>5030</v>
      </c>
      <c r="BC828" s="803">
        <v>123</v>
      </c>
      <c r="BD828" s="803">
        <v>7850</v>
      </c>
      <c r="BE828" s="803">
        <v>1.653840191590944</v>
      </c>
      <c r="BF828" s="803">
        <v>440</v>
      </c>
      <c r="BG828" s="803">
        <v>99400</v>
      </c>
      <c r="BH828" s="803">
        <v>60800</v>
      </c>
      <c r="BI828" s="803">
        <v>55000</v>
      </c>
      <c r="BJ828" s="803">
        <v>413</v>
      </c>
      <c r="BK828" s="803">
        <v>2900</v>
      </c>
      <c r="BL828" s="807">
        <v>7680</v>
      </c>
    </row>
    <row r="829" spans="35:64" x14ac:dyDescent="0.3">
      <c r="AI829" s="801" t="s">
        <v>1613</v>
      </c>
      <c r="AJ829" s="802">
        <v>43800</v>
      </c>
      <c r="AK829" s="803">
        <v>500</v>
      </c>
      <c r="AL829" s="803">
        <v>20</v>
      </c>
      <c r="AM829" s="803">
        <v>500</v>
      </c>
      <c r="AN829" s="803">
        <v>35</v>
      </c>
      <c r="AO829" s="803" t="s">
        <v>1614</v>
      </c>
      <c r="AP829" s="803">
        <v>71</v>
      </c>
      <c r="AQ829" s="803">
        <v>25</v>
      </c>
      <c r="AR829" s="803">
        <v>20</v>
      </c>
      <c r="AS829" s="803">
        <v>256</v>
      </c>
      <c r="AT829" s="803">
        <v>381</v>
      </c>
      <c r="AU829" s="803">
        <v>6.25</v>
      </c>
      <c r="AV829" s="803">
        <v>21</v>
      </c>
      <c r="AW829" s="803">
        <v>2250</v>
      </c>
      <c r="AX829" s="803">
        <v>9010</v>
      </c>
      <c r="AY829" s="803">
        <v>207</v>
      </c>
      <c r="AZ829" s="803">
        <v>14300</v>
      </c>
      <c r="BA829" s="803">
        <v>1250</v>
      </c>
      <c r="BB829" s="803">
        <v>5000</v>
      </c>
      <c r="BC829" s="803">
        <v>132</v>
      </c>
      <c r="BD829" s="803">
        <v>7590</v>
      </c>
      <c r="BE829" s="803">
        <v>1.683050546431877</v>
      </c>
      <c r="BF829" s="803">
        <v>440</v>
      </c>
      <c r="BG829" s="803">
        <v>75400</v>
      </c>
      <c r="BH829" s="803">
        <v>60500</v>
      </c>
      <c r="BI829" s="803">
        <v>55000</v>
      </c>
      <c r="BJ829" s="803">
        <v>413</v>
      </c>
      <c r="BK829" s="803">
        <v>3100</v>
      </c>
      <c r="BL829" s="807">
        <v>7140</v>
      </c>
    </row>
    <row r="830" spans="35:64" x14ac:dyDescent="0.3">
      <c r="AI830" s="801" t="s">
        <v>1615</v>
      </c>
      <c r="AJ830" s="802">
        <v>39000</v>
      </c>
      <c r="AK830" s="803">
        <v>500</v>
      </c>
      <c r="AL830" s="803">
        <v>20</v>
      </c>
      <c r="AM830" s="803">
        <v>500</v>
      </c>
      <c r="AN830" s="803">
        <v>30</v>
      </c>
      <c r="AO830" s="803" t="s">
        <v>1616</v>
      </c>
      <c r="AP830" s="803">
        <v>61</v>
      </c>
      <c r="AQ830" s="803">
        <v>20</v>
      </c>
      <c r="AR830" s="803">
        <v>20</v>
      </c>
      <c r="AS830" s="803">
        <v>230</v>
      </c>
      <c r="AT830" s="803">
        <v>343</v>
      </c>
      <c r="AU830" s="803">
        <v>7.14</v>
      </c>
      <c r="AV830" s="803">
        <v>21.5</v>
      </c>
      <c r="AW830" s="803">
        <v>2040</v>
      </c>
      <c r="AX830" s="803">
        <v>8140</v>
      </c>
      <c r="AY830" s="803">
        <v>214</v>
      </c>
      <c r="AZ830" s="803">
        <v>12100</v>
      </c>
      <c r="BA830" s="803">
        <v>1040</v>
      </c>
      <c r="BB830" s="803">
        <v>4170</v>
      </c>
      <c r="BC830" s="803">
        <v>134</v>
      </c>
      <c r="BD830" s="803">
        <v>6290</v>
      </c>
      <c r="BE830" s="803">
        <v>1.668284713268396</v>
      </c>
      <c r="BF830" s="803">
        <v>450</v>
      </c>
      <c r="BG830" s="803">
        <v>42700</v>
      </c>
      <c r="BH830" s="803">
        <v>52700</v>
      </c>
      <c r="BI830" s="803">
        <v>56300</v>
      </c>
      <c r="BJ830" s="803">
        <v>352</v>
      </c>
      <c r="BK830" s="803">
        <v>2700</v>
      </c>
      <c r="BL830" s="807">
        <v>6030</v>
      </c>
    </row>
    <row r="831" spans="35:64" x14ac:dyDescent="0.3">
      <c r="AI831" s="801" t="s">
        <v>1617</v>
      </c>
      <c r="AJ831" s="802">
        <v>35200</v>
      </c>
      <c r="AK831" s="803">
        <v>500</v>
      </c>
      <c r="AL831" s="803">
        <v>16</v>
      </c>
      <c r="AM831" s="803">
        <v>500</v>
      </c>
      <c r="AN831" s="803">
        <v>28</v>
      </c>
      <c r="AO831" s="803" t="s">
        <v>1618</v>
      </c>
      <c r="AP831" s="803">
        <v>51</v>
      </c>
      <c r="AQ831" s="803">
        <v>20</v>
      </c>
      <c r="AR831" s="803">
        <v>20</v>
      </c>
      <c r="AS831" s="803">
        <v>205</v>
      </c>
      <c r="AT831" s="803">
        <v>306</v>
      </c>
      <c r="AU831" s="803">
        <v>8.33</v>
      </c>
      <c r="AV831" s="803">
        <v>22</v>
      </c>
      <c r="AW831" s="803">
        <v>1810</v>
      </c>
      <c r="AX831" s="803">
        <v>7240</v>
      </c>
      <c r="AY831" s="803">
        <v>215</v>
      </c>
      <c r="AZ831" s="803">
        <v>10100</v>
      </c>
      <c r="BA831" s="803">
        <v>834</v>
      </c>
      <c r="BB831" s="803">
        <v>3330</v>
      </c>
      <c r="BC831" s="803">
        <v>131</v>
      </c>
      <c r="BD831" s="803">
        <v>5040</v>
      </c>
      <c r="BE831" s="803">
        <v>1.6417608721317529</v>
      </c>
      <c r="BF831" s="803">
        <v>460</v>
      </c>
      <c r="BG831" s="803">
        <v>22500</v>
      </c>
      <c r="BH831" s="803">
        <v>44100</v>
      </c>
      <c r="BI831" s="803">
        <v>57500</v>
      </c>
      <c r="BJ831" s="803">
        <v>288</v>
      </c>
      <c r="BK831" s="803">
        <v>2210</v>
      </c>
      <c r="BL831" s="807">
        <v>5040</v>
      </c>
    </row>
    <row r="832" spans="35:64" x14ac:dyDescent="0.3">
      <c r="AI832" s="801" t="s">
        <v>1619</v>
      </c>
      <c r="AJ832" s="802">
        <v>32300</v>
      </c>
      <c r="AK832" s="803">
        <v>500</v>
      </c>
      <c r="AL832" s="803">
        <v>16</v>
      </c>
      <c r="AM832" s="803">
        <v>500</v>
      </c>
      <c r="AN832" s="803">
        <v>25</v>
      </c>
      <c r="AO832" s="803" t="s">
        <v>1620</v>
      </c>
      <c r="AP832" s="803">
        <v>46</v>
      </c>
      <c r="AQ832" s="803">
        <v>20</v>
      </c>
      <c r="AR832" s="803">
        <v>20</v>
      </c>
      <c r="AS832" s="803">
        <v>185</v>
      </c>
      <c r="AT832" s="803">
        <v>276</v>
      </c>
      <c r="AU832" s="803">
        <v>8.93</v>
      </c>
      <c r="AV832" s="803">
        <v>27.8</v>
      </c>
      <c r="AW832" s="803">
        <v>1680</v>
      </c>
      <c r="AX832" s="803">
        <v>6740</v>
      </c>
      <c r="AY832" s="803">
        <v>216</v>
      </c>
      <c r="AZ832" s="803">
        <v>9100</v>
      </c>
      <c r="BA832" s="803">
        <v>729</v>
      </c>
      <c r="BB832" s="803">
        <v>2920</v>
      </c>
      <c r="BC832" s="803">
        <v>129</v>
      </c>
      <c r="BD832" s="803">
        <v>4420</v>
      </c>
      <c r="BE832" s="803">
        <v>1.6208426420135009</v>
      </c>
      <c r="BF832" s="803">
        <v>465</v>
      </c>
      <c r="BG832" s="803">
        <v>15400</v>
      </c>
      <c r="BH832" s="803">
        <v>39400</v>
      </c>
      <c r="BI832" s="803">
        <v>58100</v>
      </c>
      <c r="BJ832" s="803">
        <v>254</v>
      </c>
      <c r="BK832" s="803">
        <v>1950</v>
      </c>
      <c r="BL832" s="807">
        <v>4530</v>
      </c>
    </row>
    <row r="833" spans="35:64" x14ac:dyDescent="0.3">
      <c r="AI833" s="801" t="s">
        <v>1621</v>
      </c>
      <c r="AJ833" s="802">
        <v>28500</v>
      </c>
      <c r="AK833" s="803">
        <v>500</v>
      </c>
      <c r="AL833" s="803">
        <v>14</v>
      </c>
      <c r="AM833" s="803">
        <v>500</v>
      </c>
      <c r="AN833" s="803">
        <v>22</v>
      </c>
      <c r="AO833" s="803" t="s">
        <v>1622</v>
      </c>
      <c r="AP833" s="803">
        <v>41</v>
      </c>
      <c r="AQ833" s="803">
        <v>20</v>
      </c>
      <c r="AR833" s="803">
        <v>20</v>
      </c>
      <c r="AS833" s="803">
        <v>170</v>
      </c>
      <c r="AT833" s="803">
        <v>254</v>
      </c>
      <c r="AU833" s="803">
        <v>10</v>
      </c>
      <c r="AV833" s="803">
        <v>28.1</v>
      </c>
      <c r="AW833" s="803">
        <v>1540</v>
      </c>
      <c r="AX833" s="803">
        <v>6160</v>
      </c>
      <c r="AY833" s="803">
        <v>215</v>
      </c>
      <c r="AZ833" s="803">
        <v>8060</v>
      </c>
      <c r="BA833" s="803">
        <v>625</v>
      </c>
      <c r="BB833" s="803">
        <v>2500</v>
      </c>
      <c r="BC833" s="803">
        <v>127</v>
      </c>
      <c r="BD833" s="803">
        <v>3800</v>
      </c>
      <c r="BE833" s="803">
        <v>1.601715914357098</v>
      </c>
      <c r="BF833" s="803">
        <v>470</v>
      </c>
      <c r="BG833" s="803">
        <v>10200</v>
      </c>
      <c r="BH833" s="803">
        <v>34500</v>
      </c>
      <c r="BI833" s="803">
        <v>58800</v>
      </c>
      <c r="BJ833" s="803">
        <v>220</v>
      </c>
      <c r="BK833" s="803">
        <v>1690</v>
      </c>
      <c r="BL833" s="807">
        <v>4010</v>
      </c>
    </row>
    <row r="834" spans="35:64" x14ac:dyDescent="0.3">
      <c r="AI834" s="801" t="s">
        <v>1623</v>
      </c>
      <c r="AJ834" s="802">
        <v>25200</v>
      </c>
      <c r="AK834" s="803">
        <v>500</v>
      </c>
      <c r="AL834" s="803">
        <v>11</v>
      </c>
      <c r="AM834" s="803">
        <v>500</v>
      </c>
      <c r="AN834" s="803">
        <v>20</v>
      </c>
      <c r="AO834" s="803" t="s">
        <v>1624</v>
      </c>
      <c r="AP834" s="803">
        <v>37</v>
      </c>
      <c r="AQ834" s="803">
        <v>16</v>
      </c>
      <c r="AR834" s="803">
        <v>20</v>
      </c>
      <c r="AS834" s="803">
        <v>150</v>
      </c>
      <c r="AT834" s="803">
        <v>223</v>
      </c>
      <c r="AU834" s="803">
        <v>11.4</v>
      </c>
      <c r="AV834" s="803">
        <v>32.6</v>
      </c>
      <c r="AW834" s="803">
        <v>1370</v>
      </c>
      <c r="AX834" s="803">
        <v>5500</v>
      </c>
      <c r="AY834" s="803">
        <v>219</v>
      </c>
      <c r="AZ834" s="803">
        <v>7420</v>
      </c>
      <c r="BA834" s="803">
        <v>583</v>
      </c>
      <c r="BB834" s="803">
        <v>2330</v>
      </c>
      <c r="BC834" s="803">
        <v>129</v>
      </c>
      <c r="BD834" s="803">
        <v>3530</v>
      </c>
      <c r="BE834" s="803">
        <v>1.6096569833357079</v>
      </c>
      <c r="BF834" s="803">
        <v>472</v>
      </c>
      <c r="BG834" s="803">
        <v>7920</v>
      </c>
      <c r="BH834" s="803">
        <v>32500</v>
      </c>
      <c r="BI834" s="803">
        <v>59000</v>
      </c>
      <c r="BJ834" s="803">
        <v>207</v>
      </c>
      <c r="BK834" s="803">
        <v>1600</v>
      </c>
      <c r="BL834" s="807">
        <v>3700</v>
      </c>
    </row>
    <row r="835" spans="35:64" x14ac:dyDescent="0.3">
      <c r="AI835" s="801" t="s">
        <v>1625</v>
      </c>
      <c r="AJ835" s="802">
        <v>64100</v>
      </c>
      <c r="AK835" s="803">
        <v>450</v>
      </c>
      <c r="AL835" s="803">
        <v>30</v>
      </c>
      <c r="AM835" s="803">
        <v>450</v>
      </c>
      <c r="AN835" s="803">
        <v>60</v>
      </c>
      <c r="AO835" s="803" t="s">
        <v>1626</v>
      </c>
      <c r="AP835" s="803">
        <v>34</v>
      </c>
      <c r="AQ835" s="803">
        <v>16</v>
      </c>
      <c r="AR835" s="803">
        <v>20</v>
      </c>
      <c r="AS835" s="803">
        <v>132</v>
      </c>
      <c r="AT835" s="803">
        <v>197</v>
      </c>
      <c r="AU835" s="803">
        <v>12.5</v>
      </c>
      <c r="AV835" s="803">
        <v>41.8</v>
      </c>
      <c r="AW835" s="803">
        <v>1250</v>
      </c>
      <c r="AX835" s="803">
        <v>4990</v>
      </c>
      <c r="AY835" s="803">
        <v>218</v>
      </c>
      <c r="AZ835" s="803">
        <v>6780</v>
      </c>
      <c r="BA835" s="803">
        <v>521</v>
      </c>
      <c r="BB835" s="803">
        <v>2080</v>
      </c>
      <c r="BC835" s="803">
        <v>127</v>
      </c>
      <c r="BD835" s="803">
        <v>3160</v>
      </c>
      <c r="BE835" s="803">
        <v>1.5941746652618121</v>
      </c>
      <c r="BF835" s="803">
        <v>475</v>
      </c>
      <c r="BG835" s="803">
        <v>5820</v>
      </c>
      <c r="BH835" s="803">
        <v>29400</v>
      </c>
      <c r="BI835" s="803">
        <v>59400</v>
      </c>
      <c r="BJ835" s="803">
        <v>186</v>
      </c>
      <c r="BK835" s="803">
        <v>1440</v>
      </c>
      <c r="BL835" s="807">
        <v>3370</v>
      </c>
    </row>
    <row r="836" spans="35:64" x14ac:dyDescent="0.3">
      <c r="AI836" s="801" t="s">
        <v>1627</v>
      </c>
      <c r="AJ836" s="802">
        <v>52200</v>
      </c>
      <c r="AK836" s="803">
        <v>450</v>
      </c>
      <c r="AL836" s="803">
        <v>20</v>
      </c>
      <c r="AM836" s="803">
        <v>450</v>
      </c>
      <c r="AN836" s="803">
        <v>50</v>
      </c>
      <c r="AO836" s="803" t="s">
        <v>1628</v>
      </c>
      <c r="AP836" s="803">
        <v>31</v>
      </c>
      <c r="AQ836" s="803">
        <v>15</v>
      </c>
      <c r="AR836" s="803">
        <v>20</v>
      </c>
      <c r="AS836" s="803">
        <v>337</v>
      </c>
      <c r="AT836" s="803">
        <v>503</v>
      </c>
      <c r="AU836" s="803">
        <v>3.75</v>
      </c>
      <c r="AV836" s="803">
        <v>11</v>
      </c>
      <c r="AW836" s="803">
        <v>2160</v>
      </c>
      <c r="AX836" s="803">
        <v>9620</v>
      </c>
      <c r="AY836" s="803">
        <v>220</v>
      </c>
      <c r="AZ836" s="803">
        <v>6010</v>
      </c>
      <c r="BA836" s="803">
        <v>458</v>
      </c>
      <c r="BB836" s="803">
        <v>1830</v>
      </c>
      <c r="BC836" s="803">
        <v>127</v>
      </c>
      <c r="BD836" s="803">
        <v>2770</v>
      </c>
      <c r="BE836" s="803">
        <v>1.5901255240425081</v>
      </c>
      <c r="BF836" s="803">
        <v>478</v>
      </c>
      <c r="BG836" s="803">
        <v>3970</v>
      </c>
      <c r="BH836" s="803">
        <v>26200</v>
      </c>
      <c r="BI836" s="803">
        <v>59800</v>
      </c>
      <c r="BJ836" s="803">
        <v>164</v>
      </c>
      <c r="BK836" s="803">
        <v>1280</v>
      </c>
      <c r="BL836" s="807">
        <v>2990</v>
      </c>
    </row>
    <row r="837" spans="35:64" x14ac:dyDescent="0.3">
      <c r="AI837" s="801" t="s">
        <v>1629</v>
      </c>
      <c r="AJ837" s="802">
        <v>43600</v>
      </c>
      <c r="AK837" s="803">
        <v>450</v>
      </c>
      <c r="AL837" s="803">
        <v>20</v>
      </c>
      <c r="AM837" s="803">
        <v>450</v>
      </c>
      <c r="AN837" s="803">
        <v>40</v>
      </c>
      <c r="AO837" s="803" t="s">
        <v>1630</v>
      </c>
      <c r="AP837" s="803">
        <v>29</v>
      </c>
      <c r="AQ837" s="803">
        <v>14</v>
      </c>
      <c r="AR837" s="803">
        <v>20</v>
      </c>
      <c r="AS837" s="803">
        <v>275</v>
      </c>
      <c r="AT837" s="803">
        <v>409</v>
      </c>
      <c r="AU837" s="803">
        <v>4.5</v>
      </c>
      <c r="AV837" s="803">
        <v>17.5</v>
      </c>
      <c r="AW837" s="803">
        <v>1890</v>
      </c>
      <c r="AX837" s="803">
        <v>8380</v>
      </c>
      <c r="AY837" s="803">
        <v>223</v>
      </c>
      <c r="AZ837" s="803">
        <v>5410</v>
      </c>
      <c r="BA837" s="803">
        <v>417</v>
      </c>
      <c r="BB837" s="803">
        <v>1670</v>
      </c>
      <c r="BC837" s="803">
        <v>129</v>
      </c>
      <c r="BD837" s="803">
        <v>2510</v>
      </c>
      <c r="BE837" s="803">
        <v>1.5908594704376311</v>
      </c>
      <c r="BF837" s="803">
        <v>480</v>
      </c>
      <c r="BG837" s="803">
        <v>2870</v>
      </c>
      <c r="BH837" s="803">
        <v>24000</v>
      </c>
      <c r="BI837" s="803">
        <v>60000</v>
      </c>
      <c r="BJ837" s="803">
        <v>150</v>
      </c>
      <c r="BK837" s="803">
        <v>1170</v>
      </c>
      <c r="BL837" s="807">
        <v>2690</v>
      </c>
    </row>
    <row r="838" spans="35:64" x14ac:dyDescent="0.3">
      <c r="AI838" s="801" t="s">
        <v>1631</v>
      </c>
      <c r="AJ838" s="802">
        <v>39300</v>
      </c>
      <c r="AK838" s="803">
        <v>450</v>
      </c>
      <c r="AL838" s="803">
        <v>20</v>
      </c>
      <c r="AM838" s="803">
        <v>450</v>
      </c>
      <c r="AN838" s="803">
        <v>35</v>
      </c>
      <c r="AO838" s="803" t="s">
        <v>1632</v>
      </c>
      <c r="AP838" s="803">
        <v>71</v>
      </c>
      <c r="AQ838" s="803">
        <v>25</v>
      </c>
      <c r="AR838" s="803">
        <v>18</v>
      </c>
      <c r="AS838" s="803">
        <v>229</v>
      </c>
      <c r="AT838" s="803">
        <v>342</v>
      </c>
      <c r="AU838" s="803">
        <v>5.63</v>
      </c>
      <c r="AV838" s="803">
        <v>18.5</v>
      </c>
      <c r="AW838" s="803">
        <v>1610</v>
      </c>
      <c r="AX838" s="803">
        <v>7150</v>
      </c>
      <c r="AY838" s="803">
        <v>184</v>
      </c>
      <c r="AZ838" s="803">
        <v>11400</v>
      </c>
      <c r="BA838" s="803">
        <v>912</v>
      </c>
      <c r="BB838" s="803">
        <v>4050</v>
      </c>
      <c r="BC838" s="803">
        <v>119</v>
      </c>
      <c r="BD838" s="803">
        <v>6150</v>
      </c>
      <c r="BE838" s="803">
        <v>1.613816690378608</v>
      </c>
      <c r="BF838" s="803">
        <v>390</v>
      </c>
      <c r="BG838" s="803">
        <v>67800</v>
      </c>
      <c r="BH838" s="803">
        <v>34700</v>
      </c>
      <c r="BI838" s="803">
        <v>43900</v>
      </c>
      <c r="BJ838" s="803">
        <v>296</v>
      </c>
      <c r="BK838" s="803">
        <v>2460</v>
      </c>
      <c r="BL838" s="807">
        <v>5670</v>
      </c>
    </row>
    <row r="839" spans="35:64" x14ac:dyDescent="0.3">
      <c r="AI839" s="801" t="s">
        <v>1633</v>
      </c>
      <c r="AJ839" s="802">
        <v>35000</v>
      </c>
      <c r="AK839" s="803">
        <v>450</v>
      </c>
      <c r="AL839" s="803">
        <v>20</v>
      </c>
      <c r="AM839" s="803">
        <v>450</v>
      </c>
      <c r="AN839" s="803">
        <v>30</v>
      </c>
      <c r="AO839" s="803" t="s">
        <v>1634</v>
      </c>
      <c r="AP839" s="803">
        <v>61</v>
      </c>
      <c r="AQ839" s="803">
        <v>20</v>
      </c>
      <c r="AR839" s="803">
        <v>18</v>
      </c>
      <c r="AS839" s="803">
        <v>207</v>
      </c>
      <c r="AT839" s="803">
        <v>308</v>
      </c>
      <c r="AU839" s="803">
        <v>6.43</v>
      </c>
      <c r="AV839" s="803">
        <v>19</v>
      </c>
      <c r="AW839" s="803">
        <v>1460</v>
      </c>
      <c r="AX839" s="803">
        <v>6480</v>
      </c>
      <c r="AY839" s="803">
        <v>190</v>
      </c>
      <c r="AZ839" s="803">
        <v>9640</v>
      </c>
      <c r="BA839" s="803">
        <v>760</v>
      </c>
      <c r="BB839" s="803">
        <v>3380</v>
      </c>
      <c r="BC839" s="803">
        <v>121</v>
      </c>
      <c r="BD839" s="803">
        <v>5100</v>
      </c>
      <c r="BE839" s="803">
        <v>1.594743687995023</v>
      </c>
      <c r="BF839" s="803">
        <v>400</v>
      </c>
      <c r="BG839" s="803">
        <v>38400</v>
      </c>
      <c r="BH839" s="803">
        <v>30400</v>
      </c>
      <c r="BI839" s="803">
        <v>45000</v>
      </c>
      <c r="BJ839" s="803">
        <v>253</v>
      </c>
      <c r="BK839" s="803">
        <v>2150</v>
      </c>
      <c r="BL839" s="807">
        <v>4810</v>
      </c>
    </row>
    <row r="840" spans="35:64" x14ac:dyDescent="0.3">
      <c r="AI840" s="801" t="s">
        <v>1635</v>
      </c>
      <c r="AJ840" s="802">
        <v>31600</v>
      </c>
      <c r="AK840" s="803">
        <v>450</v>
      </c>
      <c r="AL840" s="803">
        <v>16</v>
      </c>
      <c r="AM840" s="803">
        <v>450</v>
      </c>
      <c r="AN840" s="803">
        <v>28</v>
      </c>
      <c r="AO840" s="803" t="s">
        <v>1636</v>
      </c>
      <c r="AP840" s="803">
        <v>51</v>
      </c>
      <c r="AQ840" s="803">
        <v>20</v>
      </c>
      <c r="AR840" s="803">
        <v>18</v>
      </c>
      <c r="AS840" s="803">
        <v>184</v>
      </c>
      <c r="AT840" s="803">
        <v>274</v>
      </c>
      <c r="AU840" s="803">
        <v>7.5</v>
      </c>
      <c r="AV840" s="803">
        <v>19.5</v>
      </c>
      <c r="AW840" s="803">
        <v>1300</v>
      </c>
      <c r="AX840" s="803">
        <v>5770</v>
      </c>
      <c r="AY840" s="803">
        <v>192</v>
      </c>
      <c r="AZ840" s="803">
        <v>8100</v>
      </c>
      <c r="BA840" s="803">
        <v>608</v>
      </c>
      <c r="BB840" s="803">
        <v>2700</v>
      </c>
      <c r="BC840" s="803">
        <v>118</v>
      </c>
      <c r="BD840" s="803">
        <v>4090</v>
      </c>
      <c r="BE840" s="803">
        <v>1.5638604695317031</v>
      </c>
      <c r="BF840" s="803">
        <v>410</v>
      </c>
      <c r="BG840" s="803">
        <v>20200</v>
      </c>
      <c r="BH840" s="803">
        <v>25500</v>
      </c>
      <c r="BI840" s="803">
        <v>46100</v>
      </c>
      <c r="BJ840" s="803">
        <v>208</v>
      </c>
      <c r="BK840" s="803">
        <v>1760</v>
      </c>
      <c r="BL840" s="807">
        <v>4030</v>
      </c>
    </row>
    <row r="841" spans="35:64" x14ac:dyDescent="0.3">
      <c r="AI841" s="801" t="s">
        <v>1637</v>
      </c>
      <c r="AJ841" s="802">
        <v>29000</v>
      </c>
      <c r="AK841" s="803">
        <v>450</v>
      </c>
      <c r="AL841" s="803">
        <v>16</v>
      </c>
      <c r="AM841" s="803">
        <v>450</v>
      </c>
      <c r="AN841" s="803">
        <v>25</v>
      </c>
      <c r="AO841" s="803" t="s">
        <v>1638</v>
      </c>
      <c r="AP841" s="803">
        <v>46</v>
      </c>
      <c r="AQ841" s="803">
        <v>20</v>
      </c>
      <c r="AR841" s="803">
        <v>18</v>
      </c>
      <c r="AS841" s="803">
        <v>166</v>
      </c>
      <c r="AT841" s="803">
        <v>248</v>
      </c>
      <c r="AU841" s="803">
        <v>8.0399999999999991</v>
      </c>
      <c r="AV841" s="803">
        <v>24.6</v>
      </c>
      <c r="AW841" s="803">
        <v>1210</v>
      </c>
      <c r="AX841" s="803">
        <v>5380</v>
      </c>
      <c r="AY841" s="803">
        <v>193</v>
      </c>
      <c r="AZ841" s="803">
        <v>7290</v>
      </c>
      <c r="BA841" s="803">
        <v>532</v>
      </c>
      <c r="BB841" s="803">
        <v>2360</v>
      </c>
      <c r="BC841" s="803">
        <v>116</v>
      </c>
      <c r="BD841" s="803">
        <v>3580</v>
      </c>
      <c r="BE841" s="803">
        <v>1.546181066070585</v>
      </c>
      <c r="BF841" s="803">
        <v>415</v>
      </c>
      <c r="BG841" s="803">
        <v>13900</v>
      </c>
      <c r="BH841" s="803">
        <v>22900</v>
      </c>
      <c r="BI841" s="803">
        <v>46700</v>
      </c>
      <c r="BJ841" s="803">
        <v>184</v>
      </c>
      <c r="BK841" s="803">
        <v>1560</v>
      </c>
      <c r="BL841" s="807">
        <v>3630</v>
      </c>
    </row>
    <row r="842" spans="35:64" x14ac:dyDescent="0.3">
      <c r="AI842" s="801" t="s">
        <v>1639</v>
      </c>
      <c r="AJ842" s="802">
        <v>25600</v>
      </c>
      <c r="AK842" s="803">
        <v>450</v>
      </c>
      <c r="AL842" s="803">
        <v>14</v>
      </c>
      <c r="AM842" s="803">
        <v>450</v>
      </c>
      <c r="AN842" s="803">
        <v>22</v>
      </c>
      <c r="AO842" s="803" t="s">
        <v>1640</v>
      </c>
      <c r="AP842" s="803">
        <v>41</v>
      </c>
      <c r="AQ842" s="803">
        <v>20</v>
      </c>
      <c r="AR842" s="803">
        <v>18</v>
      </c>
      <c r="AS842" s="803">
        <v>152</v>
      </c>
      <c r="AT842" s="803">
        <v>228</v>
      </c>
      <c r="AU842" s="803">
        <v>9</v>
      </c>
      <c r="AV842" s="803">
        <v>25</v>
      </c>
      <c r="AW842" s="803">
        <v>1110</v>
      </c>
      <c r="AX842" s="803">
        <v>4920</v>
      </c>
      <c r="AY842" s="803">
        <v>193</v>
      </c>
      <c r="AZ842" s="803">
        <v>6470</v>
      </c>
      <c r="BA842" s="803">
        <v>456</v>
      </c>
      <c r="BB842" s="803">
        <v>2030</v>
      </c>
      <c r="BC842" s="803">
        <v>114</v>
      </c>
      <c r="BD842" s="803">
        <v>3080</v>
      </c>
      <c r="BE842" s="803">
        <v>1.526049246803475</v>
      </c>
      <c r="BF842" s="803">
        <v>420</v>
      </c>
      <c r="BG842" s="803">
        <v>9140</v>
      </c>
      <c r="BH842" s="803">
        <v>20100</v>
      </c>
      <c r="BI842" s="803">
        <v>47300</v>
      </c>
      <c r="BJ842" s="803">
        <v>159</v>
      </c>
      <c r="BK842" s="803">
        <v>1350</v>
      </c>
      <c r="BL842" s="807">
        <v>3220</v>
      </c>
    </row>
    <row r="843" spans="35:64" x14ac:dyDescent="0.3">
      <c r="AI843" s="801" t="s">
        <v>1641</v>
      </c>
      <c r="AJ843" s="802">
        <v>22600</v>
      </c>
      <c r="AK843" s="803">
        <v>450</v>
      </c>
      <c r="AL843" s="803">
        <v>11</v>
      </c>
      <c r="AM843" s="803">
        <v>450</v>
      </c>
      <c r="AN843" s="803">
        <v>20</v>
      </c>
      <c r="AO843" s="803" t="s">
        <v>1642</v>
      </c>
      <c r="AP843" s="803">
        <v>37</v>
      </c>
      <c r="AQ843" s="803">
        <v>16</v>
      </c>
      <c r="AR843" s="803">
        <v>18</v>
      </c>
      <c r="AS843" s="803">
        <v>134</v>
      </c>
      <c r="AT843" s="803">
        <v>201</v>
      </c>
      <c r="AU843" s="803">
        <v>10.199999999999999</v>
      </c>
      <c r="AV843" s="803">
        <v>29</v>
      </c>
      <c r="AW843" s="803">
        <v>991</v>
      </c>
      <c r="AX843" s="803">
        <v>4400</v>
      </c>
      <c r="AY843" s="803">
        <v>196</v>
      </c>
      <c r="AZ843" s="803">
        <v>5960</v>
      </c>
      <c r="BA843" s="803">
        <v>425</v>
      </c>
      <c r="BB843" s="803">
        <v>1890</v>
      </c>
      <c r="BC843" s="803">
        <v>116</v>
      </c>
      <c r="BD843" s="803">
        <v>2860</v>
      </c>
      <c r="BE843" s="803">
        <v>1.5304530048737219</v>
      </c>
      <c r="BF843" s="803">
        <v>422</v>
      </c>
      <c r="BG843" s="803">
        <v>7120</v>
      </c>
      <c r="BH843" s="803">
        <v>18900</v>
      </c>
      <c r="BI843" s="803">
        <v>47500</v>
      </c>
      <c r="BJ843" s="803">
        <v>150</v>
      </c>
      <c r="BK843" s="803">
        <v>1280</v>
      </c>
      <c r="BL843" s="807">
        <v>2970</v>
      </c>
    </row>
    <row r="844" spans="35:64" x14ac:dyDescent="0.3">
      <c r="AI844" s="801" t="s">
        <v>1643</v>
      </c>
      <c r="AJ844" s="802">
        <v>56600</v>
      </c>
      <c r="AK844" s="803">
        <v>400</v>
      </c>
      <c r="AL844" s="803">
        <v>30</v>
      </c>
      <c r="AM844" s="803">
        <v>400</v>
      </c>
      <c r="AN844" s="803">
        <v>60</v>
      </c>
      <c r="AO844" s="803" t="s">
        <v>1644</v>
      </c>
      <c r="AP844" s="803">
        <v>34</v>
      </c>
      <c r="AQ844" s="803">
        <v>16</v>
      </c>
      <c r="AR844" s="803">
        <v>18</v>
      </c>
      <c r="AS844" s="803">
        <v>119</v>
      </c>
      <c r="AT844" s="803">
        <v>177</v>
      </c>
      <c r="AU844" s="803">
        <v>11.3</v>
      </c>
      <c r="AV844" s="803">
        <v>37.299999999999997</v>
      </c>
      <c r="AW844" s="803">
        <v>901</v>
      </c>
      <c r="AX844" s="803">
        <v>4000</v>
      </c>
      <c r="AY844" s="803">
        <v>195</v>
      </c>
      <c r="AZ844" s="803">
        <v>5450</v>
      </c>
      <c r="BA844" s="803">
        <v>380</v>
      </c>
      <c r="BB844" s="803">
        <v>1690</v>
      </c>
      <c r="BC844" s="803">
        <v>114</v>
      </c>
      <c r="BD844" s="803">
        <v>2560</v>
      </c>
      <c r="BE844" s="803">
        <v>1.5176321614544981</v>
      </c>
      <c r="BF844" s="803">
        <v>425</v>
      </c>
      <c r="BG844" s="803">
        <v>5230</v>
      </c>
      <c r="BH844" s="803">
        <v>17200</v>
      </c>
      <c r="BI844" s="803">
        <v>47800</v>
      </c>
      <c r="BJ844" s="803">
        <v>134</v>
      </c>
      <c r="BK844" s="803">
        <v>1150</v>
      </c>
      <c r="BL844" s="807">
        <v>2710</v>
      </c>
    </row>
    <row r="845" spans="35:64" x14ac:dyDescent="0.3">
      <c r="AI845" s="801" t="s">
        <v>1645</v>
      </c>
      <c r="AJ845" s="802">
        <v>46200</v>
      </c>
      <c r="AK845" s="803">
        <v>400</v>
      </c>
      <c r="AL845" s="803">
        <v>20</v>
      </c>
      <c r="AM845" s="803">
        <v>400</v>
      </c>
      <c r="AN845" s="803">
        <v>50</v>
      </c>
      <c r="AO845" s="803" t="s">
        <v>1646</v>
      </c>
      <c r="AP845" s="803">
        <v>31</v>
      </c>
      <c r="AQ845" s="803">
        <v>15</v>
      </c>
      <c r="AR845" s="803">
        <v>18</v>
      </c>
      <c r="AS845" s="803">
        <v>298</v>
      </c>
      <c r="AT845" s="803">
        <v>444</v>
      </c>
      <c r="AU845" s="803">
        <v>3.33</v>
      </c>
      <c r="AV845" s="803">
        <v>9.33</v>
      </c>
      <c r="AW845" s="803">
        <v>1460</v>
      </c>
      <c r="AX845" s="803">
        <v>7300</v>
      </c>
      <c r="AY845" s="803">
        <v>197</v>
      </c>
      <c r="AZ845" s="803">
        <v>4840</v>
      </c>
      <c r="BA845" s="803">
        <v>334</v>
      </c>
      <c r="BB845" s="803">
        <v>1490</v>
      </c>
      <c r="BC845" s="803">
        <v>114</v>
      </c>
      <c r="BD845" s="803">
        <v>2250</v>
      </c>
      <c r="BE845" s="803">
        <v>1.510332775880612</v>
      </c>
      <c r="BF845" s="803">
        <v>428</v>
      </c>
      <c r="BG845" s="803">
        <v>3570</v>
      </c>
      <c r="BH845" s="803">
        <v>15300</v>
      </c>
      <c r="BI845" s="803">
        <v>48200</v>
      </c>
      <c r="BJ845" s="803">
        <v>119</v>
      </c>
      <c r="BK845" s="803">
        <v>1030</v>
      </c>
      <c r="BL845" s="807">
        <v>2410</v>
      </c>
    </row>
    <row r="846" spans="35:64" x14ac:dyDescent="0.3">
      <c r="AI846" s="801" t="s">
        <v>1647</v>
      </c>
      <c r="AJ846" s="802">
        <v>38600</v>
      </c>
      <c r="AK846" s="803">
        <v>400</v>
      </c>
      <c r="AL846" s="803">
        <v>20</v>
      </c>
      <c r="AM846" s="803">
        <v>400</v>
      </c>
      <c r="AN846" s="803">
        <v>40</v>
      </c>
      <c r="AO846" s="803" t="s">
        <v>1648</v>
      </c>
      <c r="AP846" s="803">
        <v>29</v>
      </c>
      <c r="AQ846" s="803">
        <v>14</v>
      </c>
      <c r="AR846" s="803">
        <v>18</v>
      </c>
      <c r="AS846" s="803">
        <v>243</v>
      </c>
      <c r="AT846" s="803">
        <v>362</v>
      </c>
      <c r="AU846" s="803">
        <v>4</v>
      </c>
      <c r="AV846" s="803">
        <v>15</v>
      </c>
      <c r="AW846" s="803">
        <v>1280</v>
      </c>
      <c r="AX846" s="803">
        <v>6410</v>
      </c>
      <c r="AY846" s="803">
        <v>200</v>
      </c>
      <c r="AZ846" s="803">
        <v>4360</v>
      </c>
      <c r="BA846" s="803">
        <v>304</v>
      </c>
      <c r="BB846" s="803">
        <v>1350</v>
      </c>
      <c r="BC846" s="803">
        <v>116</v>
      </c>
      <c r="BD846" s="803">
        <v>2040</v>
      </c>
      <c r="BE846" s="803">
        <v>1.5131709996788389</v>
      </c>
      <c r="BF846" s="803">
        <v>430</v>
      </c>
      <c r="BG846" s="803">
        <v>2580</v>
      </c>
      <c r="BH846" s="803">
        <v>14000</v>
      </c>
      <c r="BI846" s="803">
        <v>48400</v>
      </c>
      <c r="BJ846" s="803">
        <v>109</v>
      </c>
      <c r="BK846" s="803">
        <v>944</v>
      </c>
      <c r="BL846" s="807">
        <v>2170</v>
      </c>
    </row>
    <row r="847" spans="35:64" x14ac:dyDescent="0.3">
      <c r="AI847" s="801" t="s">
        <v>1649</v>
      </c>
      <c r="AJ847" s="802">
        <v>34800</v>
      </c>
      <c r="AK847" s="803">
        <v>400</v>
      </c>
      <c r="AL847" s="803">
        <v>20</v>
      </c>
      <c r="AM847" s="803">
        <v>400</v>
      </c>
      <c r="AN847" s="803">
        <v>35</v>
      </c>
      <c r="AO847" s="803" t="s">
        <v>1650</v>
      </c>
      <c r="AP847" s="803">
        <v>71</v>
      </c>
      <c r="AQ847" s="803">
        <v>25</v>
      </c>
      <c r="AR847" s="803">
        <v>16</v>
      </c>
      <c r="AS847" s="803">
        <v>203</v>
      </c>
      <c r="AT847" s="803">
        <v>303</v>
      </c>
      <c r="AU847" s="803">
        <v>5</v>
      </c>
      <c r="AV847" s="803">
        <v>16</v>
      </c>
      <c r="AW847" s="803">
        <v>1100</v>
      </c>
      <c r="AX847" s="803">
        <v>5500</v>
      </c>
      <c r="AY847" s="803">
        <v>161</v>
      </c>
      <c r="AZ847" s="803">
        <v>8770</v>
      </c>
      <c r="BA847" s="803">
        <v>641</v>
      </c>
      <c r="BB847" s="803">
        <v>3200</v>
      </c>
      <c r="BC847" s="803">
        <v>106</v>
      </c>
      <c r="BD847" s="803">
        <v>4870</v>
      </c>
      <c r="BE847" s="803">
        <v>1.535787086635181</v>
      </c>
      <c r="BF847" s="803">
        <v>340</v>
      </c>
      <c r="BG847" s="803">
        <v>60100</v>
      </c>
      <c r="BH847" s="803">
        <v>18500</v>
      </c>
      <c r="BI847" s="803">
        <v>34000</v>
      </c>
      <c r="BJ847" s="803">
        <v>204</v>
      </c>
      <c r="BK847" s="803">
        <v>1890</v>
      </c>
      <c r="BL847" s="807">
        <v>4370</v>
      </c>
    </row>
    <row r="848" spans="35:64" x14ac:dyDescent="0.3">
      <c r="AI848" s="801" t="s">
        <v>1651</v>
      </c>
      <c r="AJ848" s="802">
        <v>31000</v>
      </c>
      <c r="AK848" s="803">
        <v>400</v>
      </c>
      <c r="AL848" s="803">
        <v>20</v>
      </c>
      <c r="AM848" s="803">
        <v>400</v>
      </c>
      <c r="AN848" s="803">
        <v>30</v>
      </c>
      <c r="AO848" s="803" t="s">
        <v>1652</v>
      </c>
      <c r="AP848" s="803">
        <v>61</v>
      </c>
      <c r="AQ848" s="803">
        <v>20</v>
      </c>
      <c r="AR848" s="803">
        <v>16</v>
      </c>
      <c r="AS848" s="803">
        <v>183</v>
      </c>
      <c r="AT848" s="803">
        <v>273</v>
      </c>
      <c r="AU848" s="803">
        <v>5.71</v>
      </c>
      <c r="AV848" s="803">
        <v>16.5</v>
      </c>
      <c r="AW848" s="803">
        <v>1000</v>
      </c>
      <c r="AX848" s="803">
        <v>5000</v>
      </c>
      <c r="AY848" s="803">
        <v>167</v>
      </c>
      <c r="AZ848" s="803">
        <v>7480</v>
      </c>
      <c r="BA848" s="803">
        <v>534</v>
      </c>
      <c r="BB848" s="803">
        <v>2670</v>
      </c>
      <c r="BC848" s="803">
        <v>107</v>
      </c>
      <c r="BD848" s="803">
        <v>4030</v>
      </c>
      <c r="BE848" s="803">
        <v>1.5181938594724591</v>
      </c>
      <c r="BF848" s="803">
        <v>350</v>
      </c>
      <c r="BG848" s="803">
        <v>34100</v>
      </c>
      <c r="BH848" s="803">
        <v>16300</v>
      </c>
      <c r="BI848" s="803">
        <v>35000</v>
      </c>
      <c r="BJ848" s="803">
        <v>175</v>
      </c>
      <c r="BK848" s="803">
        <v>1660</v>
      </c>
      <c r="BL848" s="807">
        <v>3730</v>
      </c>
    </row>
    <row r="849" spans="35:64" x14ac:dyDescent="0.3">
      <c r="AI849" s="801" t="s">
        <v>1653</v>
      </c>
      <c r="AJ849" s="802">
        <v>28000</v>
      </c>
      <c r="AK849" s="803">
        <v>400</v>
      </c>
      <c r="AL849" s="803">
        <v>16</v>
      </c>
      <c r="AM849" s="803">
        <v>400</v>
      </c>
      <c r="AN849" s="803">
        <v>28</v>
      </c>
      <c r="AO849" s="803" t="s">
        <v>1654</v>
      </c>
      <c r="AP849" s="803">
        <v>51</v>
      </c>
      <c r="AQ849" s="803">
        <v>20</v>
      </c>
      <c r="AR849" s="803">
        <v>16</v>
      </c>
      <c r="AS849" s="803">
        <v>163</v>
      </c>
      <c r="AT849" s="803">
        <v>243</v>
      </c>
      <c r="AU849" s="803">
        <v>6.67</v>
      </c>
      <c r="AV849" s="803">
        <v>17</v>
      </c>
      <c r="AW849" s="803">
        <v>894</v>
      </c>
      <c r="AX849" s="803">
        <v>4470</v>
      </c>
      <c r="AY849" s="803">
        <v>169</v>
      </c>
      <c r="AZ849" s="803">
        <v>6300</v>
      </c>
      <c r="BA849" s="803">
        <v>427</v>
      </c>
      <c r="BB849" s="803">
        <v>2130</v>
      </c>
      <c r="BC849" s="803">
        <v>105</v>
      </c>
      <c r="BD849" s="803">
        <v>3230</v>
      </c>
      <c r="BE849" s="803">
        <v>1.485526480431796</v>
      </c>
      <c r="BF849" s="803">
        <v>360</v>
      </c>
      <c r="BG849" s="803">
        <v>17900</v>
      </c>
      <c r="BH849" s="803">
        <v>13800</v>
      </c>
      <c r="BI849" s="803">
        <v>36000</v>
      </c>
      <c r="BJ849" s="803">
        <v>144</v>
      </c>
      <c r="BK849" s="803">
        <v>1370</v>
      </c>
      <c r="BL849" s="807">
        <v>3140</v>
      </c>
    </row>
    <row r="850" spans="35:64" x14ac:dyDescent="0.3">
      <c r="AI850" s="801" t="s">
        <v>1655</v>
      </c>
      <c r="AJ850" s="802">
        <v>25700</v>
      </c>
      <c r="AK850" s="803">
        <v>400</v>
      </c>
      <c r="AL850" s="803">
        <v>16</v>
      </c>
      <c r="AM850" s="803">
        <v>400</v>
      </c>
      <c r="AN850" s="803">
        <v>25</v>
      </c>
      <c r="AO850" s="803" t="s">
        <v>1656</v>
      </c>
      <c r="AP850" s="803">
        <v>46</v>
      </c>
      <c r="AQ850" s="803">
        <v>20</v>
      </c>
      <c r="AR850" s="803">
        <v>16</v>
      </c>
      <c r="AS850" s="803">
        <v>147</v>
      </c>
      <c r="AT850" s="803">
        <v>220</v>
      </c>
      <c r="AU850" s="803">
        <v>7.14</v>
      </c>
      <c r="AV850" s="803">
        <v>21.5</v>
      </c>
      <c r="AW850" s="803">
        <v>834</v>
      </c>
      <c r="AX850" s="803">
        <v>4170</v>
      </c>
      <c r="AY850" s="803">
        <v>170</v>
      </c>
      <c r="AZ850" s="803">
        <v>5680</v>
      </c>
      <c r="BA850" s="803">
        <v>374</v>
      </c>
      <c r="BB850" s="803">
        <v>1870</v>
      </c>
      <c r="BC850" s="803">
        <v>104</v>
      </c>
      <c r="BD850" s="803">
        <v>2840</v>
      </c>
      <c r="BE850" s="803">
        <v>1.4674838209614609</v>
      </c>
      <c r="BF850" s="803">
        <v>365</v>
      </c>
      <c r="BG850" s="803">
        <v>12300</v>
      </c>
      <c r="BH850" s="803">
        <v>12400</v>
      </c>
      <c r="BI850" s="803">
        <v>36500</v>
      </c>
      <c r="BJ850" s="803">
        <v>128</v>
      </c>
      <c r="BK850" s="803">
        <v>1210</v>
      </c>
      <c r="BL850" s="807">
        <v>2830</v>
      </c>
    </row>
    <row r="851" spans="35:64" x14ac:dyDescent="0.3">
      <c r="AI851" s="801" t="s">
        <v>1657</v>
      </c>
      <c r="AJ851" s="802">
        <v>22700</v>
      </c>
      <c r="AK851" s="803">
        <v>400</v>
      </c>
      <c r="AL851" s="803">
        <v>14</v>
      </c>
      <c r="AM851" s="803">
        <v>400</v>
      </c>
      <c r="AN851" s="803">
        <v>22</v>
      </c>
      <c r="AO851" s="803" t="s">
        <v>1658</v>
      </c>
      <c r="AP851" s="803">
        <v>41</v>
      </c>
      <c r="AQ851" s="803">
        <v>20</v>
      </c>
      <c r="AR851" s="803">
        <v>16</v>
      </c>
      <c r="AS851" s="803">
        <v>135</v>
      </c>
      <c r="AT851" s="803">
        <v>202</v>
      </c>
      <c r="AU851" s="803">
        <v>8</v>
      </c>
      <c r="AV851" s="803">
        <v>21.9</v>
      </c>
      <c r="AW851" s="803">
        <v>765</v>
      </c>
      <c r="AX851" s="803">
        <v>3830</v>
      </c>
      <c r="AY851" s="803">
        <v>170</v>
      </c>
      <c r="AZ851" s="803">
        <v>5050</v>
      </c>
      <c r="BA851" s="803">
        <v>320</v>
      </c>
      <c r="BB851" s="803">
        <v>1600</v>
      </c>
      <c r="BC851" s="803">
        <v>102</v>
      </c>
      <c r="BD851" s="803">
        <v>2440</v>
      </c>
      <c r="BE851" s="803">
        <v>1.4486614603718271</v>
      </c>
      <c r="BF851" s="803">
        <v>370</v>
      </c>
      <c r="BG851" s="803">
        <v>8110</v>
      </c>
      <c r="BH851" s="803">
        <v>11000</v>
      </c>
      <c r="BI851" s="803">
        <v>37000</v>
      </c>
      <c r="BJ851" s="803">
        <v>111</v>
      </c>
      <c r="BK851" s="803">
        <v>1050</v>
      </c>
      <c r="BL851" s="807">
        <v>2510</v>
      </c>
    </row>
    <row r="852" spans="35:64" x14ac:dyDescent="0.3">
      <c r="AI852" s="801" t="s">
        <v>1659</v>
      </c>
      <c r="AJ852" s="802">
        <v>20100</v>
      </c>
      <c r="AK852" s="803">
        <v>400</v>
      </c>
      <c r="AL852" s="803">
        <v>11</v>
      </c>
      <c r="AM852" s="803">
        <v>400</v>
      </c>
      <c r="AN852" s="803">
        <v>20</v>
      </c>
      <c r="AO852" s="803" t="s">
        <v>1660</v>
      </c>
      <c r="AP852" s="803">
        <v>37</v>
      </c>
      <c r="AQ852" s="803">
        <v>16</v>
      </c>
      <c r="AR852" s="803">
        <v>16</v>
      </c>
      <c r="AS852" s="803">
        <v>119</v>
      </c>
      <c r="AT852" s="803">
        <v>178</v>
      </c>
      <c r="AU852" s="803">
        <v>9.09</v>
      </c>
      <c r="AV852" s="803">
        <v>25.4</v>
      </c>
      <c r="AW852" s="803">
        <v>686</v>
      </c>
      <c r="AX852" s="803">
        <v>3430</v>
      </c>
      <c r="AY852" s="803">
        <v>173</v>
      </c>
      <c r="AZ852" s="803">
        <v>4660</v>
      </c>
      <c r="BA852" s="803">
        <v>299</v>
      </c>
      <c r="BB852" s="803">
        <v>1490</v>
      </c>
      <c r="BC852" s="803">
        <v>103</v>
      </c>
      <c r="BD852" s="803">
        <v>2260</v>
      </c>
      <c r="BE852" s="803">
        <v>1.4505879916573241</v>
      </c>
      <c r="BF852" s="803">
        <v>372</v>
      </c>
      <c r="BG852" s="803">
        <v>6320</v>
      </c>
      <c r="BH852" s="803">
        <v>10300</v>
      </c>
      <c r="BI852" s="803">
        <v>37200</v>
      </c>
      <c r="BJ852" s="803">
        <v>104</v>
      </c>
      <c r="BK852" s="803">
        <v>1000</v>
      </c>
      <c r="BL852" s="807">
        <v>2320</v>
      </c>
    </row>
    <row r="853" spans="35:64" x14ac:dyDescent="0.3">
      <c r="AI853" s="801" t="s">
        <v>1661</v>
      </c>
      <c r="AJ853" s="802">
        <v>40200</v>
      </c>
      <c r="AK853" s="803">
        <v>350</v>
      </c>
      <c r="AL853" s="803">
        <v>20</v>
      </c>
      <c r="AM853" s="803">
        <v>350</v>
      </c>
      <c r="AN853" s="803">
        <v>50</v>
      </c>
      <c r="AO853" s="803" t="s">
        <v>1662</v>
      </c>
      <c r="AP853" s="803">
        <v>34</v>
      </c>
      <c r="AQ853" s="803">
        <v>16</v>
      </c>
      <c r="AR853" s="803">
        <v>16</v>
      </c>
      <c r="AS853" s="803">
        <v>105</v>
      </c>
      <c r="AT853" s="803">
        <v>157</v>
      </c>
      <c r="AU853" s="803">
        <v>10</v>
      </c>
      <c r="AV853" s="803">
        <v>32.700000000000003</v>
      </c>
      <c r="AW853" s="803">
        <v>625</v>
      </c>
      <c r="AX853" s="803">
        <v>3120</v>
      </c>
      <c r="AY853" s="803">
        <v>172</v>
      </c>
      <c r="AZ853" s="803">
        <v>4260</v>
      </c>
      <c r="BA853" s="803">
        <v>267</v>
      </c>
      <c r="BB853" s="803">
        <v>1330</v>
      </c>
      <c r="BC853" s="803">
        <v>102</v>
      </c>
      <c r="BD853" s="803">
        <v>2020</v>
      </c>
      <c r="BE853" s="803">
        <v>1.4382944590450071</v>
      </c>
      <c r="BF853" s="803">
        <v>375</v>
      </c>
      <c r="BG853" s="803">
        <v>4640</v>
      </c>
      <c r="BH853" s="803">
        <v>9380</v>
      </c>
      <c r="BI853" s="803">
        <v>37500</v>
      </c>
      <c r="BJ853" s="803">
        <v>93.8</v>
      </c>
      <c r="BK853" s="803">
        <v>900</v>
      </c>
      <c r="BL853" s="807">
        <v>2120</v>
      </c>
    </row>
    <row r="854" spans="35:64" x14ac:dyDescent="0.3">
      <c r="AI854" s="801" t="s">
        <v>1663</v>
      </c>
      <c r="AJ854" s="802">
        <v>33600</v>
      </c>
      <c r="AK854" s="803">
        <v>350</v>
      </c>
      <c r="AL854" s="803">
        <v>20</v>
      </c>
      <c r="AM854" s="803">
        <v>350</v>
      </c>
      <c r="AN854" s="803">
        <v>40</v>
      </c>
      <c r="AO854" s="803" t="s">
        <v>1664</v>
      </c>
      <c r="AP854" s="803">
        <v>31</v>
      </c>
      <c r="AQ854" s="803">
        <v>15</v>
      </c>
      <c r="AR854" s="803">
        <v>16</v>
      </c>
      <c r="AS854" s="803">
        <v>211</v>
      </c>
      <c r="AT854" s="803">
        <v>315</v>
      </c>
      <c r="AU854" s="803">
        <v>3.5</v>
      </c>
      <c r="AV854" s="803">
        <v>12.5</v>
      </c>
      <c r="AW854" s="803">
        <v>824</v>
      </c>
      <c r="AX854" s="803">
        <v>4710</v>
      </c>
      <c r="AY854" s="803">
        <v>174</v>
      </c>
      <c r="AZ854" s="803">
        <v>3790</v>
      </c>
      <c r="BA854" s="803">
        <v>235</v>
      </c>
      <c r="BB854" s="803">
        <v>1170</v>
      </c>
      <c r="BC854" s="803">
        <v>102</v>
      </c>
      <c r="BD854" s="803">
        <v>1780</v>
      </c>
      <c r="BE854" s="803">
        <v>1.4306895266680291</v>
      </c>
      <c r="BF854" s="803">
        <v>378</v>
      </c>
      <c r="BG854" s="803">
        <v>3170</v>
      </c>
      <c r="BH854" s="803">
        <v>8390</v>
      </c>
      <c r="BI854" s="803">
        <v>37800</v>
      </c>
      <c r="BJ854" s="803">
        <v>83.2</v>
      </c>
      <c r="BK854" s="803">
        <v>802</v>
      </c>
      <c r="BL854" s="807">
        <v>1880</v>
      </c>
    </row>
    <row r="855" spans="35:64" x14ac:dyDescent="0.3">
      <c r="AI855" s="801" t="s">
        <v>1665</v>
      </c>
      <c r="AJ855" s="802">
        <v>30300</v>
      </c>
      <c r="AK855" s="803">
        <v>350</v>
      </c>
      <c r="AL855" s="803">
        <v>20</v>
      </c>
      <c r="AM855" s="803">
        <v>350</v>
      </c>
      <c r="AN855" s="803">
        <v>35</v>
      </c>
      <c r="AO855" s="803" t="s">
        <v>1666</v>
      </c>
      <c r="AP855" s="803">
        <v>29</v>
      </c>
      <c r="AQ855" s="803">
        <v>14</v>
      </c>
      <c r="AR855" s="803">
        <v>16</v>
      </c>
      <c r="AS855" s="803">
        <v>177</v>
      </c>
      <c r="AT855" s="803">
        <v>263</v>
      </c>
      <c r="AU855" s="803">
        <v>4.38</v>
      </c>
      <c r="AV855" s="803">
        <v>13.5</v>
      </c>
      <c r="AW855" s="803">
        <v>712</v>
      </c>
      <c r="AX855" s="803">
        <v>4070</v>
      </c>
      <c r="AY855" s="803">
        <v>176</v>
      </c>
      <c r="AZ855" s="803">
        <v>3420</v>
      </c>
      <c r="BA855" s="803">
        <v>213</v>
      </c>
      <c r="BB855" s="803">
        <v>1070</v>
      </c>
      <c r="BC855" s="803">
        <v>103</v>
      </c>
      <c r="BD855" s="803">
        <v>1610</v>
      </c>
      <c r="BE855" s="803">
        <v>1.431454583467815</v>
      </c>
      <c r="BF855" s="803">
        <v>380</v>
      </c>
      <c r="BG855" s="803">
        <v>2290</v>
      </c>
      <c r="BH855" s="803">
        <v>7700</v>
      </c>
      <c r="BI855" s="803">
        <v>38000</v>
      </c>
      <c r="BJ855" s="803">
        <v>76</v>
      </c>
      <c r="BK855" s="803">
        <v>739</v>
      </c>
      <c r="BL855" s="807">
        <v>1700</v>
      </c>
    </row>
    <row r="856" spans="35:64" x14ac:dyDescent="0.3">
      <c r="AI856" s="801" t="s">
        <v>1667</v>
      </c>
      <c r="AJ856" s="802">
        <v>27000</v>
      </c>
      <c r="AK856" s="803">
        <v>350</v>
      </c>
      <c r="AL856" s="803">
        <v>20</v>
      </c>
      <c r="AM856" s="803">
        <v>350</v>
      </c>
      <c r="AN856" s="803">
        <v>30</v>
      </c>
      <c r="AO856" s="803" t="s">
        <v>1668</v>
      </c>
      <c r="AP856" s="803">
        <v>61</v>
      </c>
      <c r="AQ856" s="803">
        <v>20</v>
      </c>
      <c r="AR856" s="803">
        <v>14</v>
      </c>
      <c r="AS856" s="803">
        <v>159</v>
      </c>
      <c r="AT856" s="803">
        <v>238</v>
      </c>
      <c r="AU856" s="803">
        <v>5</v>
      </c>
      <c r="AV856" s="803">
        <v>14</v>
      </c>
      <c r="AW856" s="803">
        <v>650</v>
      </c>
      <c r="AX856" s="803">
        <v>3720</v>
      </c>
      <c r="AY856" s="803">
        <v>143</v>
      </c>
      <c r="AZ856" s="803">
        <v>5580</v>
      </c>
      <c r="BA856" s="803">
        <v>357</v>
      </c>
      <c r="BB856" s="803">
        <v>2040</v>
      </c>
      <c r="BC856" s="803">
        <v>94.3</v>
      </c>
      <c r="BD856" s="803">
        <v>3090</v>
      </c>
      <c r="BE856" s="803">
        <v>1.4338953631972819</v>
      </c>
      <c r="BF856" s="803">
        <v>300</v>
      </c>
      <c r="BG856" s="803">
        <v>29800</v>
      </c>
      <c r="BH856" s="803">
        <v>8040</v>
      </c>
      <c r="BI856" s="803">
        <v>26300</v>
      </c>
      <c r="BJ856" s="803">
        <v>115</v>
      </c>
      <c r="BK856" s="803">
        <v>1240</v>
      </c>
      <c r="BL856" s="807">
        <v>2780</v>
      </c>
    </row>
    <row r="857" spans="35:64" x14ac:dyDescent="0.3">
      <c r="AI857" s="801" t="s">
        <v>1669</v>
      </c>
      <c r="AJ857" s="802">
        <v>24400</v>
      </c>
      <c r="AK857" s="803">
        <v>350</v>
      </c>
      <c r="AL857" s="803">
        <v>16</v>
      </c>
      <c r="AM857" s="803">
        <v>350</v>
      </c>
      <c r="AN857" s="803">
        <v>28</v>
      </c>
      <c r="AO857" s="803" t="s">
        <v>1670</v>
      </c>
      <c r="AP857" s="803">
        <v>51</v>
      </c>
      <c r="AQ857" s="803">
        <v>20</v>
      </c>
      <c r="AR857" s="803">
        <v>14</v>
      </c>
      <c r="AS857" s="803">
        <v>142</v>
      </c>
      <c r="AT857" s="803">
        <v>212</v>
      </c>
      <c r="AU857" s="803">
        <v>5.83</v>
      </c>
      <c r="AV857" s="803">
        <v>14.5</v>
      </c>
      <c r="AW857" s="803">
        <v>583</v>
      </c>
      <c r="AX857" s="803">
        <v>3330</v>
      </c>
      <c r="AY857" s="803">
        <v>146</v>
      </c>
      <c r="AZ857" s="803">
        <v>4730</v>
      </c>
      <c r="BA857" s="803">
        <v>286</v>
      </c>
      <c r="BB857" s="803">
        <v>1630</v>
      </c>
      <c r="BC857" s="803">
        <v>92.3</v>
      </c>
      <c r="BD857" s="803">
        <v>2480</v>
      </c>
      <c r="BE857" s="803">
        <v>1.4031066912388639</v>
      </c>
      <c r="BF857" s="803">
        <v>310</v>
      </c>
      <c r="BG857" s="803">
        <v>15700</v>
      </c>
      <c r="BH857" s="803">
        <v>6870</v>
      </c>
      <c r="BI857" s="803">
        <v>27100</v>
      </c>
      <c r="BJ857" s="803">
        <v>94.9</v>
      </c>
      <c r="BK857" s="803">
        <v>1020</v>
      </c>
      <c r="BL857" s="807">
        <v>2350</v>
      </c>
    </row>
    <row r="858" spans="35:64" x14ac:dyDescent="0.3">
      <c r="AI858" s="801" t="s">
        <v>1671</v>
      </c>
      <c r="AJ858" s="802">
        <v>22400</v>
      </c>
      <c r="AK858" s="803">
        <v>350</v>
      </c>
      <c r="AL858" s="803">
        <v>16</v>
      </c>
      <c r="AM858" s="803">
        <v>350</v>
      </c>
      <c r="AN858" s="803">
        <v>25</v>
      </c>
      <c r="AO858" s="803" t="s">
        <v>1672</v>
      </c>
      <c r="AP858" s="803">
        <v>46</v>
      </c>
      <c r="AQ858" s="803">
        <v>20</v>
      </c>
      <c r="AR858" s="803">
        <v>14</v>
      </c>
      <c r="AS858" s="803">
        <v>128</v>
      </c>
      <c r="AT858" s="803">
        <v>192</v>
      </c>
      <c r="AU858" s="803">
        <v>6.25</v>
      </c>
      <c r="AV858" s="803">
        <v>18.399999999999999</v>
      </c>
      <c r="AW858" s="803">
        <v>546</v>
      </c>
      <c r="AX858" s="803">
        <v>3120</v>
      </c>
      <c r="AY858" s="803">
        <v>147</v>
      </c>
      <c r="AZ858" s="803">
        <v>4280</v>
      </c>
      <c r="BA858" s="803">
        <v>250</v>
      </c>
      <c r="BB858" s="803">
        <v>1430</v>
      </c>
      <c r="BC858" s="803">
        <v>90.9</v>
      </c>
      <c r="BD858" s="803">
        <v>2170</v>
      </c>
      <c r="BE858" s="803">
        <v>1.384526344687937</v>
      </c>
      <c r="BF858" s="803">
        <v>315</v>
      </c>
      <c r="BG858" s="803">
        <v>10800</v>
      </c>
      <c r="BH858" s="803">
        <v>6210</v>
      </c>
      <c r="BI858" s="803">
        <v>27600</v>
      </c>
      <c r="BJ858" s="803">
        <v>84.4</v>
      </c>
      <c r="BK858" s="803">
        <v>910</v>
      </c>
      <c r="BL858" s="807">
        <v>2130</v>
      </c>
    </row>
    <row r="859" spans="35:64" x14ac:dyDescent="0.3">
      <c r="AI859" s="801" t="s">
        <v>1673</v>
      </c>
      <c r="AJ859" s="802">
        <v>19800</v>
      </c>
      <c r="AK859" s="803">
        <v>350</v>
      </c>
      <c r="AL859" s="803">
        <v>14</v>
      </c>
      <c r="AM859" s="803">
        <v>350</v>
      </c>
      <c r="AN859" s="803">
        <v>22</v>
      </c>
      <c r="AO859" s="803" t="s">
        <v>1674</v>
      </c>
      <c r="AP859" s="803">
        <v>41</v>
      </c>
      <c r="AQ859" s="803">
        <v>20</v>
      </c>
      <c r="AR859" s="803">
        <v>14</v>
      </c>
      <c r="AS859" s="803">
        <v>118</v>
      </c>
      <c r="AT859" s="803">
        <v>176</v>
      </c>
      <c r="AU859" s="803">
        <v>7</v>
      </c>
      <c r="AV859" s="803">
        <v>18.8</v>
      </c>
      <c r="AW859" s="803">
        <v>502</v>
      </c>
      <c r="AX859" s="803">
        <v>2870</v>
      </c>
      <c r="AY859" s="803">
        <v>147</v>
      </c>
      <c r="AZ859" s="803">
        <v>3810</v>
      </c>
      <c r="BA859" s="803">
        <v>215</v>
      </c>
      <c r="BB859" s="803">
        <v>1230</v>
      </c>
      <c r="BC859" s="803">
        <v>89.2</v>
      </c>
      <c r="BD859" s="803">
        <v>1870</v>
      </c>
      <c r="BE859" s="803">
        <v>1.365112438104934</v>
      </c>
      <c r="BF859" s="803">
        <v>320</v>
      </c>
      <c r="BG859" s="803">
        <v>7070</v>
      </c>
      <c r="BH859" s="803">
        <v>5490</v>
      </c>
      <c r="BI859" s="803">
        <v>28000</v>
      </c>
      <c r="BJ859" s="803">
        <v>73.5</v>
      </c>
      <c r="BK859" s="803">
        <v>792</v>
      </c>
      <c r="BL859" s="807">
        <v>1890</v>
      </c>
    </row>
    <row r="860" spans="35:64" x14ac:dyDescent="0.3">
      <c r="AI860" s="808" t="s">
        <v>1675</v>
      </c>
      <c r="AJ860" s="809">
        <v>17500</v>
      </c>
      <c r="AK860" s="796">
        <v>350</v>
      </c>
      <c r="AL860" s="796">
        <v>11</v>
      </c>
      <c r="AM860" s="796">
        <v>350</v>
      </c>
      <c r="AN860" s="796">
        <v>20</v>
      </c>
      <c r="AO860" s="803" t="s">
        <v>1676</v>
      </c>
      <c r="AP860" s="803">
        <v>37</v>
      </c>
      <c r="AQ860" s="803">
        <v>16</v>
      </c>
      <c r="AR860" s="803">
        <v>14</v>
      </c>
      <c r="AS860" s="803">
        <v>104</v>
      </c>
      <c r="AT860" s="803">
        <v>155</v>
      </c>
      <c r="AU860" s="803">
        <v>7.95</v>
      </c>
      <c r="AV860" s="803">
        <v>21.9</v>
      </c>
      <c r="AW860" s="803">
        <v>451</v>
      </c>
      <c r="AX860" s="803">
        <v>2580</v>
      </c>
      <c r="AY860" s="803">
        <v>149</v>
      </c>
      <c r="AZ860" s="803">
        <v>3520</v>
      </c>
      <c r="BA860" s="803">
        <v>200</v>
      </c>
      <c r="BB860" s="803">
        <v>1140</v>
      </c>
      <c r="BC860" s="803">
        <v>90.5</v>
      </c>
      <c r="BD860" s="803">
        <v>1740</v>
      </c>
      <c r="BE860" s="803">
        <v>1.3660072898914679</v>
      </c>
      <c r="BF860" s="803">
        <v>322</v>
      </c>
      <c r="BG860" s="803">
        <v>5520</v>
      </c>
      <c r="BH860" s="803">
        <v>5190</v>
      </c>
      <c r="BI860" s="803">
        <v>28200</v>
      </c>
      <c r="BJ860" s="803">
        <v>69</v>
      </c>
      <c r="BK860" s="803">
        <v>753</v>
      </c>
      <c r="BL860" s="807">
        <v>1750</v>
      </c>
    </row>
    <row r="861" spans="35:64" x14ac:dyDescent="0.3">
      <c r="AO861" s="803" t="s">
        <v>1677</v>
      </c>
      <c r="AP861" s="803">
        <v>34</v>
      </c>
      <c r="AQ861" s="803">
        <v>16</v>
      </c>
      <c r="AR861" s="803">
        <v>14</v>
      </c>
      <c r="AS861" s="796">
        <v>92</v>
      </c>
      <c r="AT861" s="796">
        <v>137</v>
      </c>
      <c r="AU861" s="796">
        <v>8.75</v>
      </c>
      <c r="AV861" s="796">
        <v>28.2</v>
      </c>
      <c r="AW861" s="796">
        <v>412</v>
      </c>
      <c r="AX861" s="796">
        <v>2350</v>
      </c>
      <c r="AY861" s="803">
        <v>150</v>
      </c>
      <c r="AZ861" s="803">
        <v>3220</v>
      </c>
      <c r="BA861" s="803">
        <v>179</v>
      </c>
      <c r="BB861" s="803">
        <v>1020</v>
      </c>
      <c r="BC861" s="803">
        <v>89.3</v>
      </c>
      <c r="BD861" s="803">
        <v>1550</v>
      </c>
      <c r="BE861" s="803">
        <v>1.3531529816295329</v>
      </c>
      <c r="BF861" s="803">
        <v>325</v>
      </c>
      <c r="BG861" s="803">
        <v>4060</v>
      </c>
      <c r="BH861" s="803">
        <v>4720</v>
      </c>
      <c r="BI861" s="803">
        <v>28400</v>
      </c>
      <c r="BJ861" s="803">
        <v>62.2</v>
      </c>
      <c r="BK861" s="803">
        <v>678</v>
      </c>
      <c r="BL861" s="807">
        <v>1600</v>
      </c>
    </row>
    <row r="862" spans="35:64" x14ac:dyDescent="0.3">
      <c r="AO862" s="803" t="s">
        <v>1678</v>
      </c>
      <c r="AP862" s="803">
        <v>31</v>
      </c>
      <c r="AQ862" s="803">
        <v>15</v>
      </c>
      <c r="AR862" s="803">
        <v>14</v>
      </c>
      <c r="AY862" s="803">
        <v>151</v>
      </c>
      <c r="AZ862" s="803">
        <v>2870</v>
      </c>
      <c r="BA862" s="803">
        <v>157</v>
      </c>
      <c r="BB862" s="803">
        <v>899</v>
      </c>
      <c r="BC862" s="803">
        <v>89.1</v>
      </c>
      <c r="BD862" s="803">
        <v>1360</v>
      </c>
      <c r="BE862" s="803">
        <v>1.34422427518357</v>
      </c>
      <c r="BF862" s="803">
        <v>328</v>
      </c>
      <c r="BG862" s="803">
        <v>2760</v>
      </c>
      <c r="BH862" s="803">
        <v>4230</v>
      </c>
      <c r="BI862" s="803">
        <v>28700</v>
      </c>
      <c r="BJ862" s="803">
        <v>55.2</v>
      </c>
      <c r="BK862" s="803">
        <v>606</v>
      </c>
      <c r="BL862" s="807">
        <v>1430</v>
      </c>
    </row>
    <row r="863" spans="35:64" x14ac:dyDescent="0.3">
      <c r="AO863" s="796" t="s">
        <v>1679</v>
      </c>
      <c r="AP863" s="796">
        <v>29</v>
      </c>
      <c r="AQ863" s="796">
        <v>14</v>
      </c>
      <c r="AR863" s="796">
        <v>14</v>
      </c>
      <c r="AY863" s="796">
        <v>153</v>
      </c>
      <c r="AZ863" s="796">
        <v>2590</v>
      </c>
      <c r="BA863" s="796">
        <v>143</v>
      </c>
      <c r="BB863" s="796">
        <v>817</v>
      </c>
      <c r="BC863" s="796">
        <v>90.3</v>
      </c>
      <c r="BD863" s="796">
        <v>1240</v>
      </c>
      <c r="BE863" s="796">
        <v>1.3454662295289359</v>
      </c>
      <c r="BF863" s="796">
        <v>330</v>
      </c>
      <c r="BG863" s="796">
        <v>2000</v>
      </c>
      <c r="BH863" s="796">
        <v>3890</v>
      </c>
      <c r="BI863" s="796">
        <v>28900</v>
      </c>
      <c r="BJ863" s="796">
        <v>50.5</v>
      </c>
      <c r="BK863" s="796">
        <v>559</v>
      </c>
      <c r="BL863" s="810">
        <v>1290</v>
      </c>
    </row>
  </sheetData>
  <mergeCells count="53">
    <mergeCell ref="L66:M66"/>
    <mergeCell ref="E16:F16"/>
    <mergeCell ref="E17:F17"/>
    <mergeCell ref="E21:F21"/>
    <mergeCell ref="S22:U22"/>
    <mergeCell ref="E23:F23"/>
    <mergeCell ref="E27:F27"/>
    <mergeCell ref="S27:U27"/>
    <mergeCell ref="B35:E35"/>
    <mergeCell ref="E63:F63"/>
    <mergeCell ref="H63:I63"/>
    <mergeCell ref="S64:U64"/>
    <mergeCell ref="E65:F65"/>
    <mergeCell ref="AT155:AW155"/>
    <mergeCell ref="C182:E182"/>
    <mergeCell ref="C171:E171"/>
    <mergeCell ref="E69:F69"/>
    <mergeCell ref="S69:U69"/>
    <mergeCell ref="S71:U71"/>
    <mergeCell ref="S75:U75"/>
    <mergeCell ref="B115:F115"/>
    <mergeCell ref="B117:E117"/>
    <mergeCell ref="D261:E261"/>
    <mergeCell ref="B118:E118"/>
    <mergeCell ref="H141:I141"/>
    <mergeCell ref="H144:I144"/>
    <mergeCell ref="H146:J146"/>
    <mergeCell ref="B184:F184"/>
    <mergeCell ref="C185:G185"/>
    <mergeCell ref="C188:L188"/>
    <mergeCell ref="C189:H189"/>
    <mergeCell ref="G233:H233"/>
    <mergeCell ref="E379:F379"/>
    <mergeCell ref="H379:I379"/>
    <mergeCell ref="E384:F384"/>
    <mergeCell ref="G359:R359"/>
    <mergeCell ref="D262:E262"/>
    <mergeCell ref="D263:E263"/>
    <mergeCell ref="F307:G307"/>
    <mergeCell ref="C337:E337"/>
    <mergeCell ref="AB410:AG410"/>
    <mergeCell ref="AB413:AG413"/>
    <mergeCell ref="T416:V416"/>
    <mergeCell ref="K341:L341"/>
    <mergeCell ref="K343:L343"/>
    <mergeCell ref="K345:L345"/>
    <mergeCell ref="T419:V419"/>
    <mergeCell ref="T420:V420"/>
    <mergeCell ref="T421:V421"/>
    <mergeCell ref="T424:V424"/>
    <mergeCell ref="S384:U384"/>
    <mergeCell ref="T394:V394"/>
    <mergeCell ref="T395:V395"/>
  </mergeCells>
  <dataValidations count="21">
    <dataValidation type="list" allowBlank="1" showInputMessage="1" showErrorMessage="1" sqref="E17:F17" xr:uid="{BEB9B4A8-95FD-4050-88F2-EC12F95AA320}">
      <formula1>INDIRECT("Cities_" &amp; SUBSTITUTE(E16," ",""))</formula1>
    </dataValidation>
    <dataValidation type="list" allowBlank="1" showInputMessage="1" showErrorMessage="1" sqref="E16:F16" xr:uid="{97A46673-108F-4F97-B347-5E6A802B770B}">
      <formula1>Province_List</formula1>
    </dataValidation>
    <dataValidation type="list" allowBlank="1" showInputMessage="1" showErrorMessage="1" sqref="F262 F266 L262 L266" xr:uid="{B1E8B97A-C0DC-4A7F-89FA-E26033EB8DAF}">
      <formula1>$AT$156:$AX$156</formula1>
    </dataValidation>
    <dataValidation type="list" allowBlank="1" showInputMessage="1" showErrorMessage="1" sqref="T126 M132 H154 WWA127:WWE127 JO127:JS127 V65860:W65860 S65861:U65861 V131396:W131396 S131397:U131397 V196932:W196932 S196933:U196933 V262468:W262468 S262469:U262469 V328004:W328004 S328005:U328005 V393540:W393540 S393541:U393541 V459076:W459076 S459077:U459077 V524612:W524612 S524613:U524613 V590148:W590148 S590149:U590149 V655684:W655684 S655685:U655685 V721220:W721220 S721221:U721221 V786756:W786756 S786757:U786757 V852292:W852292 S852293:U852293 V917828:W917828 S917829:U917829 V983364:W983364 S983365:U983365 WWA983352:WWE983352 WME983352:WMI983352 WCI983352:WCM983352 VSM983352:VSQ983352 VIQ983352:VIU983352 UYU983352:UYY983352 UOY983352:UPC983352 UFC983352:UFG983352 TVG983352:TVK983352 TLK983352:TLO983352 TBO983352:TBS983352 SRS983352:SRW983352 SHW983352:SIA983352 RYA983352:RYE983352 ROE983352:ROI983352 REI983352:REM983352 QUM983352:QUQ983352 QKQ983352:QKU983352 QAU983352:QAY983352 PQY983352:PRC983352 PHC983352:PHG983352 OXG983352:OXK983352 ONK983352:ONO983352 ODO983352:ODS983352 NTS983352:NTW983352 NJW983352:NKA983352 NAA983352:NAE983352 MQE983352:MQI983352 MGI983352:MGM983352 LWM983352:LWQ983352 LMQ983352:LMU983352 LCU983352:LCY983352 KSY983352:KTC983352 KJC983352:KJG983352 JZG983352:JZK983352 JPK983352:JPO983352 JFO983352:JFS983352 IVS983352:IVW983352 ILW983352:IMA983352 ICA983352:ICE983352 HSE983352:HSI983352 HII983352:HIM983352 GYM983352:GYQ983352 GOQ983352:GOU983352 GEU983352:GEY983352 FUY983352:FVC983352 FLC983352:FLG983352 FBG983352:FBK983352 ERK983352:ERO983352 EHO983352:EHS983352 DXS983352:DXW983352 DNW983352:DOA983352 DEA983352:DEE983352 CUE983352:CUI983352 CKI983352:CKM983352 CAM983352:CAQ983352 BQQ983352:BQU983352 BGU983352:BGY983352 AWY983352:AXC983352 ANC983352:ANG983352 ADG983352:ADK983352 TK983352:TO983352 JO983352:JS983352 WWA917816:WWE917816 WME917816:WMI917816 WCI917816:WCM917816 VSM917816:VSQ917816 VIQ917816:VIU917816 UYU917816:UYY917816 UOY917816:UPC917816 UFC917816:UFG917816 TVG917816:TVK917816 TLK917816:TLO917816 TBO917816:TBS917816 SRS917816:SRW917816 SHW917816:SIA917816 RYA917816:RYE917816 ROE917816:ROI917816 REI917816:REM917816 QUM917816:QUQ917816 QKQ917816:QKU917816 QAU917816:QAY917816 PQY917816:PRC917816 PHC917816:PHG917816 OXG917816:OXK917816 ONK917816:ONO917816 ODO917816:ODS917816 NTS917816:NTW917816 NJW917816:NKA917816 NAA917816:NAE917816 MQE917816:MQI917816 MGI917816:MGM917816 LWM917816:LWQ917816 LMQ917816:LMU917816 LCU917816:LCY917816 KSY917816:KTC917816 KJC917816:KJG917816 JZG917816:JZK917816 JPK917816:JPO917816 JFO917816:JFS917816 IVS917816:IVW917816 ILW917816:IMA917816 ICA917816:ICE917816 HSE917816:HSI917816 HII917816:HIM917816 GYM917816:GYQ917816 GOQ917816:GOU917816 GEU917816:GEY917816 FUY917816:FVC917816 FLC917816:FLG917816 FBG917816:FBK917816 ERK917816:ERO917816 EHO917816:EHS917816 DXS917816:DXW917816 DNW917816:DOA917816 DEA917816:DEE917816 CUE917816:CUI917816 CKI917816:CKM917816 CAM917816:CAQ917816 BQQ917816:BQU917816 BGU917816:BGY917816 AWY917816:AXC917816 ANC917816:ANG917816 ADG917816:ADK917816 TK917816:TO917816 JO917816:JS917816 WWA852280:WWE852280 WME852280:WMI852280 WCI852280:WCM852280 VSM852280:VSQ852280 VIQ852280:VIU852280 UYU852280:UYY852280 UOY852280:UPC852280 UFC852280:UFG852280 TVG852280:TVK852280 TLK852280:TLO852280 TBO852280:TBS852280 SRS852280:SRW852280 SHW852280:SIA852280 RYA852280:RYE852280 ROE852280:ROI852280 REI852280:REM852280 QUM852280:QUQ852280 QKQ852280:QKU852280 QAU852280:QAY852280 PQY852280:PRC852280 PHC852280:PHG852280 OXG852280:OXK852280 ONK852280:ONO852280 ODO852280:ODS852280 NTS852280:NTW852280 NJW852280:NKA852280 NAA852280:NAE852280 MQE852280:MQI852280 MGI852280:MGM852280 LWM852280:LWQ852280 LMQ852280:LMU852280 LCU852280:LCY852280 KSY852280:KTC852280 KJC852280:KJG852280 JZG852280:JZK852280 JPK852280:JPO852280 JFO852280:JFS852280 IVS852280:IVW852280 ILW852280:IMA852280 ICA852280:ICE852280 HSE852280:HSI852280 HII852280:HIM852280 GYM852280:GYQ852280 GOQ852280:GOU852280 GEU852280:GEY852280 FUY852280:FVC852280 FLC852280:FLG852280 FBG852280:FBK852280 ERK852280:ERO852280 EHO852280:EHS852280 DXS852280:DXW852280 DNW852280:DOA852280 DEA852280:DEE852280 CUE852280:CUI852280 CKI852280:CKM852280 CAM852280:CAQ852280 BQQ852280:BQU852280 BGU852280:BGY852280 AWY852280:AXC852280 ANC852280:ANG852280 ADG852280:ADK852280 TK852280:TO852280 JO852280:JS852280 WWA786744:WWE786744 WME786744:WMI786744 WCI786744:WCM786744 VSM786744:VSQ786744 VIQ786744:VIU786744 UYU786744:UYY786744 UOY786744:UPC786744 UFC786744:UFG786744 TVG786744:TVK786744 TLK786744:TLO786744 TBO786744:TBS786744 SRS786744:SRW786744 SHW786744:SIA786744 RYA786744:RYE786744 ROE786744:ROI786744 REI786744:REM786744 QUM786744:QUQ786744 QKQ786744:QKU786744 QAU786744:QAY786744 PQY786744:PRC786744 PHC786744:PHG786744 OXG786744:OXK786744 ONK786744:ONO786744 ODO786744:ODS786744 NTS786744:NTW786744 NJW786744:NKA786744 NAA786744:NAE786744 MQE786744:MQI786744 MGI786744:MGM786744 LWM786744:LWQ786744 LMQ786744:LMU786744 LCU786744:LCY786744 KSY786744:KTC786744 KJC786744:KJG786744 JZG786744:JZK786744 JPK786744:JPO786744 JFO786744:JFS786744 IVS786744:IVW786744 ILW786744:IMA786744 ICA786744:ICE786744 HSE786744:HSI786744 HII786744:HIM786744 GYM786744:GYQ786744 GOQ786744:GOU786744 GEU786744:GEY786744 FUY786744:FVC786744 FLC786744:FLG786744 FBG786744:FBK786744 ERK786744:ERO786744 EHO786744:EHS786744 DXS786744:DXW786744 DNW786744:DOA786744 DEA786744:DEE786744 CUE786744:CUI786744 CKI786744:CKM786744 CAM786744:CAQ786744 BQQ786744:BQU786744 BGU786744:BGY786744 AWY786744:AXC786744 ANC786744:ANG786744 ADG786744:ADK786744 TK786744:TO786744 JO786744:JS786744 WWA721208:WWE721208 WME721208:WMI721208 WCI721208:WCM721208 VSM721208:VSQ721208 VIQ721208:VIU721208 UYU721208:UYY721208 UOY721208:UPC721208 UFC721208:UFG721208 TVG721208:TVK721208 TLK721208:TLO721208 TBO721208:TBS721208 SRS721208:SRW721208 SHW721208:SIA721208 RYA721208:RYE721208 ROE721208:ROI721208 REI721208:REM721208 QUM721208:QUQ721208 QKQ721208:QKU721208 QAU721208:QAY721208 PQY721208:PRC721208 PHC721208:PHG721208 OXG721208:OXK721208 ONK721208:ONO721208 ODO721208:ODS721208 NTS721208:NTW721208 NJW721208:NKA721208 NAA721208:NAE721208 MQE721208:MQI721208 MGI721208:MGM721208 LWM721208:LWQ721208 LMQ721208:LMU721208 LCU721208:LCY721208 KSY721208:KTC721208 KJC721208:KJG721208 JZG721208:JZK721208 JPK721208:JPO721208 JFO721208:JFS721208 IVS721208:IVW721208 ILW721208:IMA721208 ICA721208:ICE721208 HSE721208:HSI721208 HII721208:HIM721208 GYM721208:GYQ721208 GOQ721208:GOU721208 GEU721208:GEY721208 FUY721208:FVC721208 FLC721208:FLG721208 FBG721208:FBK721208 ERK721208:ERO721208 EHO721208:EHS721208 DXS721208:DXW721208 DNW721208:DOA721208 DEA721208:DEE721208 CUE721208:CUI721208 CKI721208:CKM721208 CAM721208:CAQ721208 BQQ721208:BQU721208 BGU721208:BGY721208 AWY721208:AXC721208 ANC721208:ANG721208 ADG721208:ADK721208 TK721208:TO721208 JO721208:JS721208 WWA655672:WWE655672 WME655672:WMI655672 WCI655672:WCM655672 VSM655672:VSQ655672 VIQ655672:VIU655672 UYU655672:UYY655672 UOY655672:UPC655672 UFC655672:UFG655672 TVG655672:TVK655672 TLK655672:TLO655672 TBO655672:TBS655672 SRS655672:SRW655672 SHW655672:SIA655672 RYA655672:RYE655672 ROE655672:ROI655672 REI655672:REM655672 QUM655672:QUQ655672 QKQ655672:QKU655672 QAU655672:QAY655672 PQY655672:PRC655672 PHC655672:PHG655672 OXG655672:OXK655672 ONK655672:ONO655672 ODO655672:ODS655672 NTS655672:NTW655672 NJW655672:NKA655672 NAA655672:NAE655672 MQE655672:MQI655672 MGI655672:MGM655672 LWM655672:LWQ655672 LMQ655672:LMU655672 LCU655672:LCY655672 KSY655672:KTC655672 KJC655672:KJG655672 JZG655672:JZK655672 JPK655672:JPO655672 JFO655672:JFS655672 IVS655672:IVW655672 ILW655672:IMA655672 ICA655672:ICE655672 HSE655672:HSI655672 HII655672:HIM655672 GYM655672:GYQ655672 GOQ655672:GOU655672 GEU655672:GEY655672 FUY655672:FVC655672 FLC655672:FLG655672 FBG655672:FBK655672 ERK655672:ERO655672 EHO655672:EHS655672 DXS655672:DXW655672 DNW655672:DOA655672 DEA655672:DEE655672 CUE655672:CUI655672 CKI655672:CKM655672 CAM655672:CAQ655672 BQQ655672:BQU655672 BGU655672:BGY655672 AWY655672:AXC655672 ANC655672:ANG655672 ADG655672:ADK655672 TK655672:TO655672 JO655672:JS655672 WWA590136:WWE590136 WME590136:WMI590136 WCI590136:WCM590136 VSM590136:VSQ590136 VIQ590136:VIU590136 UYU590136:UYY590136 UOY590136:UPC590136 UFC590136:UFG590136 TVG590136:TVK590136 TLK590136:TLO590136 TBO590136:TBS590136 SRS590136:SRW590136 SHW590136:SIA590136 RYA590136:RYE590136 ROE590136:ROI590136 REI590136:REM590136 QUM590136:QUQ590136 QKQ590136:QKU590136 QAU590136:QAY590136 PQY590136:PRC590136 PHC590136:PHG590136 OXG590136:OXK590136 ONK590136:ONO590136 ODO590136:ODS590136 NTS590136:NTW590136 NJW590136:NKA590136 NAA590136:NAE590136 MQE590136:MQI590136 MGI590136:MGM590136 LWM590136:LWQ590136 LMQ590136:LMU590136 LCU590136:LCY590136 KSY590136:KTC590136 KJC590136:KJG590136 JZG590136:JZK590136 JPK590136:JPO590136 JFO590136:JFS590136 IVS590136:IVW590136 ILW590136:IMA590136 ICA590136:ICE590136 HSE590136:HSI590136 HII590136:HIM590136 GYM590136:GYQ590136 GOQ590136:GOU590136 GEU590136:GEY590136 FUY590136:FVC590136 FLC590136:FLG590136 FBG590136:FBK590136 ERK590136:ERO590136 EHO590136:EHS590136 DXS590136:DXW590136 DNW590136:DOA590136 DEA590136:DEE590136 CUE590136:CUI590136 CKI590136:CKM590136 CAM590136:CAQ590136 BQQ590136:BQU590136 BGU590136:BGY590136 AWY590136:AXC590136 ANC590136:ANG590136 ADG590136:ADK590136 TK590136:TO590136 JO590136:JS590136 WWA524600:WWE524600 WME524600:WMI524600 WCI524600:WCM524600 VSM524600:VSQ524600 VIQ524600:VIU524600 UYU524600:UYY524600 UOY524600:UPC524600 UFC524600:UFG524600 TVG524600:TVK524600 TLK524600:TLO524600 TBO524600:TBS524600 SRS524600:SRW524600 SHW524600:SIA524600 RYA524600:RYE524600 ROE524600:ROI524600 REI524600:REM524600 QUM524600:QUQ524600 QKQ524600:QKU524600 QAU524600:QAY524600 PQY524600:PRC524600 PHC524600:PHG524600 OXG524600:OXK524600 ONK524600:ONO524600 ODO524600:ODS524600 NTS524600:NTW524600 NJW524600:NKA524600 NAA524600:NAE524600 MQE524600:MQI524600 MGI524600:MGM524600 LWM524600:LWQ524600 LMQ524600:LMU524600 LCU524600:LCY524600 KSY524600:KTC524600 KJC524600:KJG524600 JZG524600:JZK524600 JPK524600:JPO524600 JFO524600:JFS524600 IVS524600:IVW524600 ILW524600:IMA524600 ICA524600:ICE524600 HSE524600:HSI524600 HII524600:HIM524600 GYM524600:GYQ524600 GOQ524600:GOU524600 GEU524600:GEY524600 FUY524600:FVC524600 FLC524600:FLG524600 FBG524600:FBK524600 ERK524600:ERO524600 EHO524600:EHS524600 DXS524600:DXW524600 DNW524600:DOA524600 DEA524600:DEE524600 CUE524600:CUI524600 CKI524600:CKM524600 CAM524600:CAQ524600 BQQ524600:BQU524600 BGU524600:BGY524600 AWY524600:AXC524600 ANC524600:ANG524600 ADG524600:ADK524600 TK524600:TO524600 JO524600:JS524600 WWA459064:WWE459064 WME459064:WMI459064 WCI459064:WCM459064 VSM459064:VSQ459064 VIQ459064:VIU459064 UYU459064:UYY459064 UOY459064:UPC459064 UFC459064:UFG459064 TVG459064:TVK459064 TLK459064:TLO459064 TBO459064:TBS459064 SRS459064:SRW459064 SHW459064:SIA459064 RYA459064:RYE459064 ROE459064:ROI459064 REI459064:REM459064 QUM459064:QUQ459064 QKQ459064:QKU459064 QAU459064:QAY459064 PQY459064:PRC459064 PHC459064:PHG459064 OXG459064:OXK459064 ONK459064:ONO459064 ODO459064:ODS459064 NTS459064:NTW459064 NJW459064:NKA459064 NAA459064:NAE459064 MQE459064:MQI459064 MGI459064:MGM459064 LWM459064:LWQ459064 LMQ459064:LMU459064 LCU459064:LCY459064 KSY459064:KTC459064 KJC459064:KJG459064 JZG459064:JZK459064 JPK459064:JPO459064 JFO459064:JFS459064 IVS459064:IVW459064 ILW459064:IMA459064 ICA459064:ICE459064 HSE459064:HSI459064 HII459064:HIM459064 GYM459064:GYQ459064 GOQ459064:GOU459064 GEU459064:GEY459064 FUY459064:FVC459064 FLC459064:FLG459064 FBG459064:FBK459064 ERK459064:ERO459064 EHO459064:EHS459064 DXS459064:DXW459064 DNW459064:DOA459064 DEA459064:DEE459064 CUE459064:CUI459064 CKI459064:CKM459064 CAM459064:CAQ459064 BQQ459064:BQU459064 BGU459064:BGY459064 AWY459064:AXC459064 ANC459064:ANG459064 ADG459064:ADK459064 TK459064:TO459064 JO459064:JS459064 WWA393528:WWE393528 WME393528:WMI393528 WCI393528:WCM393528 VSM393528:VSQ393528 VIQ393528:VIU393528 UYU393528:UYY393528 UOY393528:UPC393528 UFC393528:UFG393528 TVG393528:TVK393528 TLK393528:TLO393528 TBO393528:TBS393528 SRS393528:SRW393528 SHW393528:SIA393528 RYA393528:RYE393528 ROE393528:ROI393528 REI393528:REM393528 QUM393528:QUQ393528 QKQ393528:QKU393528 QAU393528:QAY393528 PQY393528:PRC393528 PHC393528:PHG393528 OXG393528:OXK393528 ONK393528:ONO393528 ODO393528:ODS393528 NTS393528:NTW393528 NJW393528:NKA393528 NAA393528:NAE393528 MQE393528:MQI393528 MGI393528:MGM393528 LWM393528:LWQ393528 LMQ393528:LMU393528 LCU393528:LCY393528 KSY393528:KTC393528 KJC393528:KJG393528 JZG393528:JZK393528 JPK393528:JPO393528 JFO393528:JFS393528 IVS393528:IVW393528 ILW393528:IMA393528 ICA393528:ICE393528 HSE393528:HSI393528 HII393528:HIM393528 GYM393528:GYQ393528 GOQ393528:GOU393528 GEU393528:GEY393528 FUY393528:FVC393528 FLC393528:FLG393528 FBG393528:FBK393528 ERK393528:ERO393528 EHO393528:EHS393528 DXS393528:DXW393528 DNW393528:DOA393528 DEA393528:DEE393528 CUE393528:CUI393528 CKI393528:CKM393528 CAM393528:CAQ393528 BQQ393528:BQU393528 BGU393528:BGY393528 AWY393528:AXC393528 ANC393528:ANG393528 ADG393528:ADK393528 TK393528:TO393528 JO393528:JS393528 WWA327992:WWE327992 WME327992:WMI327992 WCI327992:WCM327992 VSM327992:VSQ327992 VIQ327992:VIU327992 UYU327992:UYY327992 UOY327992:UPC327992 UFC327992:UFG327992 TVG327992:TVK327992 TLK327992:TLO327992 TBO327992:TBS327992 SRS327992:SRW327992 SHW327992:SIA327992 RYA327992:RYE327992 ROE327992:ROI327992 REI327992:REM327992 QUM327992:QUQ327992 QKQ327992:QKU327992 QAU327992:QAY327992 PQY327992:PRC327992 PHC327992:PHG327992 OXG327992:OXK327992 ONK327992:ONO327992 ODO327992:ODS327992 NTS327992:NTW327992 NJW327992:NKA327992 NAA327992:NAE327992 MQE327992:MQI327992 MGI327992:MGM327992 LWM327992:LWQ327992 LMQ327992:LMU327992 LCU327992:LCY327992 KSY327992:KTC327992 KJC327992:KJG327992 JZG327992:JZK327992 JPK327992:JPO327992 JFO327992:JFS327992 IVS327992:IVW327992 ILW327992:IMA327992 ICA327992:ICE327992 HSE327992:HSI327992 HII327992:HIM327992 GYM327992:GYQ327992 GOQ327992:GOU327992 GEU327992:GEY327992 FUY327992:FVC327992 FLC327992:FLG327992 FBG327992:FBK327992 ERK327992:ERO327992 EHO327992:EHS327992 DXS327992:DXW327992 DNW327992:DOA327992 DEA327992:DEE327992 CUE327992:CUI327992 CKI327992:CKM327992 CAM327992:CAQ327992 BQQ327992:BQU327992 BGU327992:BGY327992 AWY327992:AXC327992 ANC327992:ANG327992 ADG327992:ADK327992 TK327992:TO327992 JO327992:JS327992 WWA262456:WWE262456 WME262456:WMI262456 WCI262456:WCM262456 VSM262456:VSQ262456 VIQ262456:VIU262456 UYU262456:UYY262456 UOY262456:UPC262456 UFC262456:UFG262456 TVG262456:TVK262456 TLK262456:TLO262456 TBO262456:TBS262456 SRS262456:SRW262456 SHW262456:SIA262456 RYA262456:RYE262456 ROE262456:ROI262456 REI262456:REM262456 QUM262456:QUQ262456 QKQ262456:QKU262456 QAU262456:QAY262456 PQY262456:PRC262456 PHC262456:PHG262456 OXG262456:OXK262456 ONK262456:ONO262456 ODO262456:ODS262456 NTS262456:NTW262456 NJW262456:NKA262456 NAA262456:NAE262456 MQE262456:MQI262456 MGI262456:MGM262456 LWM262456:LWQ262456 LMQ262456:LMU262456 LCU262456:LCY262456 KSY262456:KTC262456 KJC262456:KJG262456 JZG262456:JZK262456 JPK262456:JPO262456 JFO262456:JFS262456 IVS262456:IVW262456 ILW262456:IMA262456 ICA262456:ICE262456 HSE262456:HSI262456 HII262456:HIM262456 GYM262456:GYQ262456 GOQ262456:GOU262456 GEU262456:GEY262456 FUY262456:FVC262456 FLC262456:FLG262456 FBG262456:FBK262456 ERK262456:ERO262456 EHO262456:EHS262456 DXS262456:DXW262456 DNW262456:DOA262456 DEA262456:DEE262456 CUE262456:CUI262456 CKI262456:CKM262456 CAM262456:CAQ262456 BQQ262456:BQU262456 BGU262456:BGY262456 AWY262456:AXC262456 ANC262456:ANG262456 ADG262456:ADK262456 TK262456:TO262456 JO262456:JS262456 WWA196920:WWE196920 WME196920:WMI196920 WCI196920:WCM196920 VSM196920:VSQ196920 VIQ196920:VIU196920 UYU196920:UYY196920 UOY196920:UPC196920 UFC196920:UFG196920 TVG196920:TVK196920 TLK196920:TLO196920 TBO196920:TBS196920 SRS196920:SRW196920 SHW196920:SIA196920 RYA196920:RYE196920 ROE196920:ROI196920 REI196920:REM196920 QUM196920:QUQ196920 QKQ196920:QKU196920 QAU196920:QAY196920 PQY196920:PRC196920 PHC196920:PHG196920 OXG196920:OXK196920 ONK196920:ONO196920 ODO196920:ODS196920 NTS196920:NTW196920 NJW196920:NKA196920 NAA196920:NAE196920 MQE196920:MQI196920 MGI196920:MGM196920 LWM196920:LWQ196920 LMQ196920:LMU196920 LCU196920:LCY196920 KSY196920:KTC196920 KJC196920:KJG196920 JZG196920:JZK196920 JPK196920:JPO196920 JFO196920:JFS196920 IVS196920:IVW196920 ILW196920:IMA196920 ICA196920:ICE196920 HSE196920:HSI196920 HII196920:HIM196920 GYM196920:GYQ196920 GOQ196920:GOU196920 GEU196920:GEY196920 FUY196920:FVC196920 FLC196920:FLG196920 FBG196920:FBK196920 ERK196920:ERO196920 EHO196920:EHS196920 DXS196920:DXW196920 DNW196920:DOA196920 DEA196920:DEE196920 CUE196920:CUI196920 CKI196920:CKM196920 CAM196920:CAQ196920 BQQ196920:BQU196920 BGU196920:BGY196920 AWY196920:AXC196920 ANC196920:ANG196920 ADG196920:ADK196920 TK196920:TO196920 JO196920:JS196920 WWA131384:WWE131384 WME131384:WMI131384 WCI131384:WCM131384 VSM131384:VSQ131384 VIQ131384:VIU131384 UYU131384:UYY131384 UOY131384:UPC131384 UFC131384:UFG131384 TVG131384:TVK131384 TLK131384:TLO131384 TBO131384:TBS131384 SRS131384:SRW131384 SHW131384:SIA131384 RYA131384:RYE131384 ROE131384:ROI131384 REI131384:REM131384 QUM131384:QUQ131384 QKQ131384:QKU131384 QAU131384:QAY131384 PQY131384:PRC131384 PHC131384:PHG131384 OXG131384:OXK131384 ONK131384:ONO131384 ODO131384:ODS131384 NTS131384:NTW131384 NJW131384:NKA131384 NAA131384:NAE131384 MQE131384:MQI131384 MGI131384:MGM131384 LWM131384:LWQ131384 LMQ131384:LMU131384 LCU131384:LCY131384 KSY131384:KTC131384 KJC131384:KJG131384 JZG131384:JZK131384 JPK131384:JPO131384 JFO131384:JFS131384 IVS131384:IVW131384 ILW131384:IMA131384 ICA131384:ICE131384 HSE131384:HSI131384 HII131384:HIM131384 GYM131384:GYQ131384 GOQ131384:GOU131384 GEU131384:GEY131384 FUY131384:FVC131384 FLC131384:FLG131384 FBG131384:FBK131384 ERK131384:ERO131384 EHO131384:EHS131384 DXS131384:DXW131384 DNW131384:DOA131384 DEA131384:DEE131384 CUE131384:CUI131384 CKI131384:CKM131384 CAM131384:CAQ131384 BQQ131384:BQU131384 BGU131384:BGY131384 AWY131384:AXC131384 ANC131384:ANG131384 ADG131384:ADK131384 TK131384:TO131384 JO131384:JS131384 WWA65848:WWE65848 WME65848:WMI65848 WCI65848:WCM65848 VSM65848:VSQ65848 VIQ65848:VIU65848 UYU65848:UYY65848 UOY65848:UPC65848 UFC65848:UFG65848 TVG65848:TVK65848 TLK65848:TLO65848 TBO65848:TBS65848 SRS65848:SRW65848 SHW65848:SIA65848 RYA65848:RYE65848 ROE65848:ROI65848 REI65848:REM65848 QUM65848:QUQ65848 QKQ65848:QKU65848 QAU65848:QAY65848 PQY65848:PRC65848 PHC65848:PHG65848 OXG65848:OXK65848 ONK65848:ONO65848 ODO65848:ODS65848 NTS65848:NTW65848 NJW65848:NKA65848 NAA65848:NAE65848 MQE65848:MQI65848 MGI65848:MGM65848 LWM65848:LWQ65848 LMQ65848:LMU65848 LCU65848:LCY65848 KSY65848:KTC65848 KJC65848:KJG65848 JZG65848:JZK65848 JPK65848:JPO65848 JFO65848:JFS65848 IVS65848:IVW65848 ILW65848:IMA65848 ICA65848:ICE65848 HSE65848:HSI65848 HII65848:HIM65848 GYM65848:GYQ65848 GOQ65848:GOU65848 GEU65848:GEY65848 FUY65848:FVC65848 FLC65848:FLG65848 FBG65848:FBK65848 ERK65848:ERO65848 EHO65848:EHS65848 DXS65848:DXW65848 DNW65848:DOA65848 DEA65848:DEE65848 CUE65848:CUI65848 CKI65848:CKM65848 CAM65848:CAQ65848 BQQ65848:BQU65848 BGU65848:BGY65848 AWY65848:AXC65848 ANC65848:ANG65848 ADG65848:ADK65848 TK65848:TO65848 JO65848:JS65848 TK127:TO127 ADG127:ADK127 ANC127:ANG127 AWY127:AXC127 BGU127:BGY127 BQQ127:BQU127 CAM127:CAQ127 CKI127:CKM127 CUE127:CUI127 DEA127:DEE127 DNW127:DOA127 DXS127:DXW127 EHO127:EHS127 ERK127:ERO127 FBG127:FBK127 FLC127:FLG127 FUY127:FVC127 GEU127:GEY127 GOQ127:GOU127 GYM127:GYQ127 HII127:HIM127 HSE127:HSI127 ICA127:ICE127 ILW127:IMA127 IVS127:IVW127 JFO127:JFS127 JPK127:JPO127 JZG127:JZK127 KJC127:KJG127 KSY127:KTC127 LCU127:LCY127 LMQ127:LMU127 LWM127:LWQ127 MGI127:MGM127 MQE127:MQI127 NAA127:NAE127 NJW127:NKA127 NTS127:NTW127 ODO127:ODS127 ONK127:ONO127 OXG127:OXK127 PHC127:PHG127 PQY127:PRC127 QAU127:QAY127 QKQ127:QKU127 QUM127:QUQ127 REI127:REM127 ROE127:ROI127 RYA127:RYE127 SHW127:SIA127 SRS127:SRW127 TBO127:TBS127 TLK127:TLO127 TVG127:TVK127 UFC127:UFG127 UOY127:UPC127 UYU127:UYY127 VIQ127:VIU127 VSM127:VSQ127 WCI127:WCM127 WME127:WMI127" xr:uid="{9E5AC1B6-A433-429E-80F4-E50C1200260A}">
      <formula1>$AR$135:$AR$136</formula1>
    </dataValidation>
    <dataValidation type="list" allowBlank="1" showInputMessage="1" showErrorMessage="1" sqref="L267 L263 F263 F267" xr:uid="{E4D9D7E3-B587-4EAE-9473-676B59DDA1BC}">
      <formula1>$E$252:$P$252</formula1>
    </dataValidation>
    <dataValidation type="list" allowBlank="1" showInputMessage="1" showErrorMessage="1" sqref="C185:G185" xr:uid="{B8E7D6D9-7B48-4675-A3F0-9F4E41D440B3}">
      <formula1>"COLUMNS, BEAMS, GIRDERS, BRACED FRAMES / BRACES, TRUSSES, MOMENT FRAMES, DIAPHRAGMS, JOISTS, NONE"</formula1>
    </dataValidation>
    <dataValidation type="list" allowBlank="1" showInputMessage="1" showErrorMessage="1" sqref="K35 K117 J373" xr:uid="{5287524E-F3BB-40B6-8072-DC17F8B1358E}">
      <formula1>"ULS, SLS"</formula1>
    </dataValidation>
    <dataValidation type="list" allowBlank="1" showInputMessage="1" showErrorMessage="1" sqref="F307" xr:uid="{2D76E400-9B5A-49C9-A322-FD2EDD14E082}">
      <formula1>"Dominant Opening (Select), Overhead Door, Roll-up Door, Sectional Overhead Door, High-lift Door, Tilt-up Door, Hangar Door"</formula1>
    </dataValidation>
    <dataValidation type="list" allowBlank="1" showInputMessage="1" showErrorMessage="1" sqref="B115:F115" xr:uid="{DE2E44E5-9313-4C1F-8DB4-EAD64E4E5C27}">
      <formula1>"Static Procedure, Dynamic Procedure, Wind Tunnel"</formula1>
    </dataValidation>
    <dataValidation type="list" allowBlank="1" showInputMessage="1" showErrorMessage="1" sqref="C182 C171 M167:M172" xr:uid="{90C7C956-1467-426E-91B8-E17D723120EF}">
      <formula1>"Select the Following, a) Primary Members (Structural Steel), b) Secondary Members, c) Primary &amp; Secondary Members"</formula1>
    </dataValidation>
    <dataValidation type="list" allowBlank="1" showInputMessage="1" showErrorMessage="1" sqref="K261 AB181:AB183 C188:L188" xr:uid="{FF79BA77-4680-4E0C-83EB-B657686CE874}">
      <formula1>$AY$391:$AY$400</formula1>
    </dataValidation>
    <dataValidation type="list" allowBlank="1" showInputMessage="1" showErrorMessage="1" sqref="F268 L268" xr:uid="{B58F41DD-3680-4102-96C8-64DF12E6F0DF}">
      <formula1>#REF!</formula1>
    </dataValidation>
    <dataValidation type="list" allowBlank="1" showInputMessage="1" showErrorMessage="1" sqref="F261 L265 L261 F265" xr:uid="{0FB618FC-1662-4BD0-AD0C-F5745F2636B6}">
      <formula1>"A, B"</formula1>
    </dataValidation>
    <dataValidation type="list" allowBlank="1" showInputMessage="1" showErrorMessage="1" sqref="Q183" xr:uid="{F48AC939-6EAB-438F-80F3-1B37527887B7}">
      <formula1>"a) Primary Members (Structural Steel), b) Secondary Members, c) Primary &amp; Secondary Members"</formula1>
    </dataValidation>
    <dataValidation type="list" showInputMessage="1" showErrorMessage="1" sqref="I179 I169" xr:uid="{C55FDDDB-3B69-404F-922C-EC69398DC8D0}">
      <formula1>"a) Main Structural Members and Building as a whole, b) External Pressures and Suctions acting on Secondary Structural Members "</formula1>
    </dataValidation>
    <dataValidation type="list" allowBlank="1" showInputMessage="1" showErrorMessage="1" sqref="H132" xr:uid="{98938423-0E03-4E44-BAC7-C6CA0DEB9369}">
      <formula1>"(1/10 years),(1/50 years)"</formula1>
    </dataValidation>
    <dataValidation type="list" allowBlank="1" showInputMessage="1" showErrorMessage="1" sqref="K36 K118 J119 J374 K375" xr:uid="{0949930B-138A-4E62-A351-F239D6021F26}">
      <formula1>"Low, Normal, High, Post-disaster"</formula1>
    </dataValidation>
    <dataValidation type="list" allowBlank="1" showInputMessage="1" showErrorMessage="1" sqref="N102" xr:uid="{B2A00148-C27D-40B9-9388-A5C320D0B08B}">
      <formula1>"GABLE, ARCH, DOME, NONE"</formula1>
    </dataValidation>
    <dataValidation type="list" allowBlank="1" showInputMessage="1" showErrorMessage="1" sqref="N100" xr:uid="{A836CF11-FA21-478D-BF8E-AB37C584944F}">
      <formula1>"Equipment, Large Chimney, Penthouse, NONE"</formula1>
    </dataValidation>
    <dataValidation type="list" allowBlank="1" showInputMessage="1" showErrorMessage="1" sqref="WWA983386 S65895 JO65882 TK65882 ADG65882 ANC65882 AWY65882 BGU65882 BQQ65882 CAM65882 CKI65882 CUE65882 DEA65882 DNW65882 DXS65882 EHO65882 ERK65882 FBG65882 FLC65882 FUY65882 GEU65882 GOQ65882 GYM65882 HII65882 HSE65882 ICA65882 ILW65882 IVS65882 JFO65882 JPK65882 JZG65882 KJC65882 KSY65882 LCU65882 LMQ65882 LWM65882 MGI65882 MQE65882 NAA65882 NJW65882 NTS65882 ODO65882 ONK65882 OXG65882 PHC65882 PQY65882 QAU65882 QKQ65882 QUM65882 REI65882 ROE65882 RYA65882 SHW65882 SRS65882 TBO65882 TLK65882 TVG65882 UFC65882 UOY65882 UYU65882 VIQ65882 VSM65882 WCI65882 WME65882 WWA65882 S131431 JO131418 TK131418 ADG131418 ANC131418 AWY131418 BGU131418 BQQ131418 CAM131418 CKI131418 CUE131418 DEA131418 DNW131418 DXS131418 EHO131418 ERK131418 FBG131418 FLC131418 FUY131418 GEU131418 GOQ131418 GYM131418 HII131418 HSE131418 ICA131418 ILW131418 IVS131418 JFO131418 JPK131418 JZG131418 KJC131418 KSY131418 LCU131418 LMQ131418 LWM131418 MGI131418 MQE131418 NAA131418 NJW131418 NTS131418 ODO131418 ONK131418 OXG131418 PHC131418 PQY131418 QAU131418 QKQ131418 QUM131418 REI131418 ROE131418 RYA131418 SHW131418 SRS131418 TBO131418 TLK131418 TVG131418 UFC131418 UOY131418 UYU131418 VIQ131418 VSM131418 WCI131418 WME131418 WWA131418 S196967 JO196954 TK196954 ADG196954 ANC196954 AWY196954 BGU196954 BQQ196954 CAM196954 CKI196954 CUE196954 DEA196954 DNW196954 DXS196954 EHO196954 ERK196954 FBG196954 FLC196954 FUY196954 GEU196954 GOQ196954 GYM196954 HII196954 HSE196954 ICA196954 ILW196954 IVS196954 JFO196954 JPK196954 JZG196954 KJC196954 KSY196954 LCU196954 LMQ196954 LWM196954 MGI196954 MQE196954 NAA196954 NJW196954 NTS196954 ODO196954 ONK196954 OXG196954 PHC196954 PQY196954 QAU196954 QKQ196954 QUM196954 REI196954 ROE196954 RYA196954 SHW196954 SRS196954 TBO196954 TLK196954 TVG196954 UFC196954 UOY196954 UYU196954 VIQ196954 VSM196954 WCI196954 WME196954 WWA196954 S262503 JO262490 TK262490 ADG262490 ANC262490 AWY262490 BGU262490 BQQ262490 CAM262490 CKI262490 CUE262490 DEA262490 DNW262490 DXS262490 EHO262490 ERK262490 FBG262490 FLC262490 FUY262490 GEU262490 GOQ262490 GYM262490 HII262490 HSE262490 ICA262490 ILW262490 IVS262490 JFO262490 JPK262490 JZG262490 KJC262490 KSY262490 LCU262490 LMQ262490 LWM262490 MGI262490 MQE262490 NAA262490 NJW262490 NTS262490 ODO262490 ONK262490 OXG262490 PHC262490 PQY262490 QAU262490 QKQ262490 QUM262490 REI262490 ROE262490 RYA262490 SHW262490 SRS262490 TBO262490 TLK262490 TVG262490 UFC262490 UOY262490 UYU262490 VIQ262490 VSM262490 WCI262490 WME262490 WWA262490 S328039 JO328026 TK328026 ADG328026 ANC328026 AWY328026 BGU328026 BQQ328026 CAM328026 CKI328026 CUE328026 DEA328026 DNW328026 DXS328026 EHO328026 ERK328026 FBG328026 FLC328026 FUY328026 GEU328026 GOQ328026 GYM328026 HII328026 HSE328026 ICA328026 ILW328026 IVS328026 JFO328026 JPK328026 JZG328026 KJC328026 KSY328026 LCU328026 LMQ328026 LWM328026 MGI328026 MQE328026 NAA328026 NJW328026 NTS328026 ODO328026 ONK328026 OXG328026 PHC328026 PQY328026 QAU328026 QKQ328026 QUM328026 REI328026 ROE328026 RYA328026 SHW328026 SRS328026 TBO328026 TLK328026 TVG328026 UFC328026 UOY328026 UYU328026 VIQ328026 VSM328026 WCI328026 WME328026 WWA328026 S393575 JO393562 TK393562 ADG393562 ANC393562 AWY393562 BGU393562 BQQ393562 CAM393562 CKI393562 CUE393562 DEA393562 DNW393562 DXS393562 EHO393562 ERK393562 FBG393562 FLC393562 FUY393562 GEU393562 GOQ393562 GYM393562 HII393562 HSE393562 ICA393562 ILW393562 IVS393562 JFO393562 JPK393562 JZG393562 KJC393562 KSY393562 LCU393562 LMQ393562 LWM393562 MGI393562 MQE393562 NAA393562 NJW393562 NTS393562 ODO393562 ONK393562 OXG393562 PHC393562 PQY393562 QAU393562 QKQ393562 QUM393562 REI393562 ROE393562 RYA393562 SHW393562 SRS393562 TBO393562 TLK393562 TVG393562 UFC393562 UOY393562 UYU393562 VIQ393562 VSM393562 WCI393562 WME393562 WWA393562 S459111 JO459098 TK459098 ADG459098 ANC459098 AWY459098 BGU459098 BQQ459098 CAM459098 CKI459098 CUE459098 DEA459098 DNW459098 DXS459098 EHO459098 ERK459098 FBG459098 FLC459098 FUY459098 GEU459098 GOQ459098 GYM459098 HII459098 HSE459098 ICA459098 ILW459098 IVS459098 JFO459098 JPK459098 JZG459098 KJC459098 KSY459098 LCU459098 LMQ459098 LWM459098 MGI459098 MQE459098 NAA459098 NJW459098 NTS459098 ODO459098 ONK459098 OXG459098 PHC459098 PQY459098 QAU459098 QKQ459098 QUM459098 REI459098 ROE459098 RYA459098 SHW459098 SRS459098 TBO459098 TLK459098 TVG459098 UFC459098 UOY459098 UYU459098 VIQ459098 VSM459098 WCI459098 WME459098 WWA459098 S524647 JO524634 TK524634 ADG524634 ANC524634 AWY524634 BGU524634 BQQ524634 CAM524634 CKI524634 CUE524634 DEA524634 DNW524634 DXS524634 EHO524634 ERK524634 FBG524634 FLC524634 FUY524634 GEU524634 GOQ524634 GYM524634 HII524634 HSE524634 ICA524634 ILW524634 IVS524634 JFO524634 JPK524634 JZG524634 KJC524634 KSY524634 LCU524634 LMQ524634 LWM524634 MGI524634 MQE524634 NAA524634 NJW524634 NTS524634 ODO524634 ONK524634 OXG524634 PHC524634 PQY524634 QAU524634 QKQ524634 QUM524634 REI524634 ROE524634 RYA524634 SHW524634 SRS524634 TBO524634 TLK524634 TVG524634 UFC524634 UOY524634 UYU524634 VIQ524634 VSM524634 WCI524634 WME524634 WWA524634 S590183 JO590170 TK590170 ADG590170 ANC590170 AWY590170 BGU590170 BQQ590170 CAM590170 CKI590170 CUE590170 DEA590170 DNW590170 DXS590170 EHO590170 ERK590170 FBG590170 FLC590170 FUY590170 GEU590170 GOQ590170 GYM590170 HII590170 HSE590170 ICA590170 ILW590170 IVS590170 JFO590170 JPK590170 JZG590170 KJC590170 KSY590170 LCU590170 LMQ590170 LWM590170 MGI590170 MQE590170 NAA590170 NJW590170 NTS590170 ODO590170 ONK590170 OXG590170 PHC590170 PQY590170 QAU590170 QKQ590170 QUM590170 REI590170 ROE590170 RYA590170 SHW590170 SRS590170 TBO590170 TLK590170 TVG590170 UFC590170 UOY590170 UYU590170 VIQ590170 VSM590170 WCI590170 WME590170 WWA590170 S655719 JO655706 TK655706 ADG655706 ANC655706 AWY655706 BGU655706 BQQ655706 CAM655706 CKI655706 CUE655706 DEA655706 DNW655706 DXS655706 EHO655706 ERK655706 FBG655706 FLC655706 FUY655706 GEU655706 GOQ655706 GYM655706 HII655706 HSE655706 ICA655706 ILW655706 IVS655706 JFO655706 JPK655706 JZG655706 KJC655706 KSY655706 LCU655706 LMQ655706 LWM655706 MGI655706 MQE655706 NAA655706 NJW655706 NTS655706 ODO655706 ONK655706 OXG655706 PHC655706 PQY655706 QAU655706 QKQ655706 QUM655706 REI655706 ROE655706 RYA655706 SHW655706 SRS655706 TBO655706 TLK655706 TVG655706 UFC655706 UOY655706 UYU655706 VIQ655706 VSM655706 WCI655706 WME655706 WWA655706 S721255 JO721242 TK721242 ADG721242 ANC721242 AWY721242 BGU721242 BQQ721242 CAM721242 CKI721242 CUE721242 DEA721242 DNW721242 DXS721242 EHO721242 ERK721242 FBG721242 FLC721242 FUY721242 GEU721242 GOQ721242 GYM721242 HII721242 HSE721242 ICA721242 ILW721242 IVS721242 JFO721242 JPK721242 JZG721242 KJC721242 KSY721242 LCU721242 LMQ721242 LWM721242 MGI721242 MQE721242 NAA721242 NJW721242 NTS721242 ODO721242 ONK721242 OXG721242 PHC721242 PQY721242 QAU721242 QKQ721242 QUM721242 REI721242 ROE721242 RYA721242 SHW721242 SRS721242 TBO721242 TLK721242 TVG721242 UFC721242 UOY721242 UYU721242 VIQ721242 VSM721242 WCI721242 WME721242 WWA721242 S786791 JO786778 TK786778 ADG786778 ANC786778 AWY786778 BGU786778 BQQ786778 CAM786778 CKI786778 CUE786778 DEA786778 DNW786778 DXS786778 EHO786778 ERK786778 FBG786778 FLC786778 FUY786778 GEU786778 GOQ786778 GYM786778 HII786778 HSE786778 ICA786778 ILW786778 IVS786778 JFO786778 JPK786778 JZG786778 KJC786778 KSY786778 LCU786778 LMQ786778 LWM786778 MGI786778 MQE786778 NAA786778 NJW786778 NTS786778 ODO786778 ONK786778 OXG786778 PHC786778 PQY786778 QAU786778 QKQ786778 QUM786778 REI786778 ROE786778 RYA786778 SHW786778 SRS786778 TBO786778 TLK786778 TVG786778 UFC786778 UOY786778 UYU786778 VIQ786778 VSM786778 WCI786778 WME786778 WWA786778 S852327 JO852314 TK852314 ADG852314 ANC852314 AWY852314 BGU852314 BQQ852314 CAM852314 CKI852314 CUE852314 DEA852314 DNW852314 DXS852314 EHO852314 ERK852314 FBG852314 FLC852314 FUY852314 GEU852314 GOQ852314 GYM852314 HII852314 HSE852314 ICA852314 ILW852314 IVS852314 JFO852314 JPK852314 JZG852314 KJC852314 KSY852314 LCU852314 LMQ852314 LWM852314 MGI852314 MQE852314 NAA852314 NJW852314 NTS852314 ODO852314 ONK852314 OXG852314 PHC852314 PQY852314 QAU852314 QKQ852314 QUM852314 REI852314 ROE852314 RYA852314 SHW852314 SRS852314 TBO852314 TLK852314 TVG852314 UFC852314 UOY852314 UYU852314 VIQ852314 VSM852314 WCI852314 WME852314 WWA852314 S917863 JO917850 TK917850 ADG917850 ANC917850 AWY917850 BGU917850 BQQ917850 CAM917850 CKI917850 CUE917850 DEA917850 DNW917850 DXS917850 EHO917850 ERK917850 FBG917850 FLC917850 FUY917850 GEU917850 GOQ917850 GYM917850 HII917850 HSE917850 ICA917850 ILW917850 IVS917850 JFO917850 JPK917850 JZG917850 KJC917850 KSY917850 LCU917850 LMQ917850 LWM917850 MGI917850 MQE917850 NAA917850 NJW917850 NTS917850 ODO917850 ONK917850 OXG917850 PHC917850 PQY917850 QAU917850 QKQ917850 QUM917850 REI917850 ROE917850 RYA917850 SHW917850 SRS917850 TBO917850 TLK917850 TVG917850 UFC917850 UOY917850 UYU917850 VIQ917850 VSM917850 WCI917850 WME917850 WWA917850 S983399 JO983386 TK983386 ADG983386 ANC983386 AWY983386 BGU983386 BQQ983386 CAM983386 CKI983386 CUE983386 DEA983386 DNW983386 DXS983386 EHO983386 ERK983386 FBG983386 FLC983386 FUY983386 GEU983386 GOQ983386 GYM983386 HII983386 HSE983386 ICA983386 ILW983386 IVS983386 JFO983386 JPK983386 JZG983386 KJC983386 KSY983386 LCU983386 LMQ983386 LWM983386 MGI983386 MQE983386 NAA983386 NJW983386 NTS983386 ODO983386 ONK983386 OXG983386 PHC983386 PQY983386 QAU983386 QKQ983386 QUM983386 REI983386 ROE983386 RYA983386 SHW983386 SRS983386 TBO983386 TLK983386 TVG983386 UFC983386 UOY983386 UYU983386 VIQ983386 VSM983386 WCI983386 WME983386" xr:uid="{478DA3A8-AE44-44C6-92CB-82F50E8B0459}">
      <formula1>$AI$422:$AI$860</formula1>
    </dataValidation>
    <dataValidation type="list" allowBlank="1" showInputMessage="1" showErrorMessage="1" sqref="WWD983418:WWE983418 WCL983418:WCM983418 VSP983418:VSQ983418 VIT983418:VIU983418 UYX983418:UYY983418 UPB983418:UPC983418 UFF983418:UFG983418 TVJ983418:TVK983418 TLN983418:TLO983418 TBR983418:TBS983418 SRV983418:SRW983418 SHZ983418:SIA983418 RYD983418:RYE983418 ROH983418:ROI983418 REL983418:REM983418 QUP983418:QUQ983418 QKT983418:QKU983418 QAX983418:QAY983418 PRB983418:PRC983418 PHF983418:PHG983418 OXJ983418:OXK983418 ONN983418:ONO983418 ODR983418:ODS983418 NTV983418:NTW983418 NJZ983418:NKA983418 NAD983418:NAE983418 MQH983418:MQI983418 MGL983418:MGM983418 LWP983418:LWQ983418 LMT983418:LMU983418 LCX983418:LCY983418 KTB983418:KTC983418 KJF983418:KJG983418 JZJ983418:JZK983418 JPN983418:JPO983418 JFR983418:JFS983418 IVV983418:IVW983418 ILZ983418:IMA983418 ICD983418:ICE983418 HSH983418:HSI983418 HIL983418:HIM983418 GYP983418:GYQ983418 GOT983418:GOU983418 GEX983418:GEY983418 FVB983418:FVC983418 FLF983418:FLG983418 FBJ983418:FBK983418 ERN983418:ERO983418 EHR983418:EHS983418 DXV983418:DXW983418 DNZ983418:DOA983418 DED983418:DEE983418 CUH983418:CUI983418 CKL983418:CKM983418 CAP983418:CAQ983418 BQT983418:BQU983418 BGX983418:BGY983418 AXB983418:AXC983418 ANF983418:ANG983418 ADJ983418:ADK983418 TN983418:TO983418 JR983418:JS983418 V983430:W983430 WWD917882:WWE917882 WMH917882:WMI917882 WCL917882:WCM917882 VSP917882:VSQ917882 VIT917882:VIU917882 UYX917882:UYY917882 UPB917882:UPC917882 UFF917882:UFG917882 TVJ917882:TVK917882 TLN917882:TLO917882 TBR917882:TBS917882 SRV917882:SRW917882 SHZ917882:SIA917882 RYD917882:RYE917882 ROH917882:ROI917882 REL917882:REM917882 QUP917882:QUQ917882 QKT917882:QKU917882 QAX917882:QAY917882 PRB917882:PRC917882 PHF917882:PHG917882 OXJ917882:OXK917882 ONN917882:ONO917882 ODR917882:ODS917882 NTV917882:NTW917882 NJZ917882:NKA917882 NAD917882:NAE917882 MQH917882:MQI917882 MGL917882:MGM917882 LWP917882:LWQ917882 LMT917882:LMU917882 LCX917882:LCY917882 KTB917882:KTC917882 KJF917882:KJG917882 JZJ917882:JZK917882 JPN917882:JPO917882 JFR917882:JFS917882 IVV917882:IVW917882 ILZ917882:IMA917882 ICD917882:ICE917882 HSH917882:HSI917882 HIL917882:HIM917882 GYP917882:GYQ917882 GOT917882:GOU917882 GEX917882:GEY917882 FVB917882:FVC917882 FLF917882:FLG917882 FBJ917882:FBK917882 ERN917882:ERO917882 EHR917882:EHS917882 DXV917882:DXW917882 DNZ917882:DOA917882 DED917882:DEE917882 CUH917882:CUI917882 CKL917882:CKM917882 CAP917882:CAQ917882 BQT917882:BQU917882 BGX917882:BGY917882 AXB917882:AXC917882 ANF917882:ANG917882 ADJ917882:ADK917882 TN917882:TO917882 JR917882:JS917882 V917894:W917894 WWD852346:WWE852346 WMH852346:WMI852346 WCL852346:WCM852346 VSP852346:VSQ852346 VIT852346:VIU852346 UYX852346:UYY852346 UPB852346:UPC852346 UFF852346:UFG852346 TVJ852346:TVK852346 TLN852346:TLO852346 TBR852346:TBS852346 SRV852346:SRW852346 SHZ852346:SIA852346 RYD852346:RYE852346 ROH852346:ROI852346 REL852346:REM852346 QUP852346:QUQ852346 QKT852346:QKU852346 QAX852346:QAY852346 PRB852346:PRC852346 PHF852346:PHG852346 OXJ852346:OXK852346 ONN852346:ONO852346 ODR852346:ODS852346 NTV852346:NTW852346 NJZ852346:NKA852346 NAD852346:NAE852346 MQH852346:MQI852346 MGL852346:MGM852346 LWP852346:LWQ852346 LMT852346:LMU852346 LCX852346:LCY852346 KTB852346:KTC852346 KJF852346:KJG852346 JZJ852346:JZK852346 JPN852346:JPO852346 JFR852346:JFS852346 IVV852346:IVW852346 ILZ852346:IMA852346 ICD852346:ICE852346 HSH852346:HSI852346 HIL852346:HIM852346 GYP852346:GYQ852346 GOT852346:GOU852346 GEX852346:GEY852346 FVB852346:FVC852346 FLF852346:FLG852346 FBJ852346:FBK852346 ERN852346:ERO852346 EHR852346:EHS852346 DXV852346:DXW852346 DNZ852346:DOA852346 DED852346:DEE852346 CUH852346:CUI852346 CKL852346:CKM852346 CAP852346:CAQ852346 BQT852346:BQU852346 BGX852346:BGY852346 AXB852346:AXC852346 ANF852346:ANG852346 ADJ852346:ADK852346 TN852346:TO852346 JR852346:JS852346 V852358:W852358 WWD786810:WWE786810 WMH786810:WMI786810 WCL786810:WCM786810 VSP786810:VSQ786810 VIT786810:VIU786810 UYX786810:UYY786810 UPB786810:UPC786810 UFF786810:UFG786810 TVJ786810:TVK786810 TLN786810:TLO786810 TBR786810:TBS786810 SRV786810:SRW786810 SHZ786810:SIA786810 RYD786810:RYE786810 ROH786810:ROI786810 REL786810:REM786810 QUP786810:QUQ786810 QKT786810:QKU786810 QAX786810:QAY786810 PRB786810:PRC786810 PHF786810:PHG786810 OXJ786810:OXK786810 ONN786810:ONO786810 ODR786810:ODS786810 NTV786810:NTW786810 NJZ786810:NKA786810 NAD786810:NAE786810 MQH786810:MQI786810 MGL786810:MGM786810 LWP786810:LWQ786810 LMT786810:LMU786810 LCX786810:LCY786810 KTB786810:KTC786810 KJF786810:KJG786810 JZJ786810:JZK786810 JPN786810:JPO786810 JFR786810:JFS786810 IVV786810:IVW786810 ILZ786810:IMA786810 ICD786810:ICE786810 HSH786810:HSI786810 HIL786810:HIM786810 GYP786810:GYQ786810 GOT786810:GOU786810 GEX786810:GEY786810 FVB786810:FVC786810 FLF786810:FLG786810 FBJ786810:FBK786810 ERN786810:ERO786810 EHR786810:EHS786810 DXV786810:DXW786810 DNZ786810:DOA786810 DED786810:DEE786810 CUH786810:CUI786810 CKL786810:CKM786810 CAP786810:CAQ786810 BQT786810:BQU786810 BGX786810:BGY786810 AXB786810:AXC786810 ANF786810:ANG786810 ADJ786810:ADK786810 TN786810:TO786810 JR786810:JS786810 V786822:W786822 WWD721274:WWE721274 WMH721274:WMI721274 WCL721274:WCM721274 VSP721274:VSQ721274 VIT721274:VIU721274 UYX721274:UYY721274 UPB721274:UPC721274 UFF721274:UFG721274 TVJ721274:TVK721274 TLN721274:TLO721274 TBR721274:TBS721274 SRV721274:SRW721274 SHZ721274:SIA721274 RYD721274:RYE721274 ROH721274:ROI721274 REL721274:REM721274 QUP721274:QUQ721274 QKT721274:QKU721274 QAX721274:QAY721274 PRB721274:PRC721274 PHF721274:PHG721274 OXJ721274:OXK721274 ONN721274:ONO721274 ODR721274:ODS721274 NTV721274:NTW721274 NJZ721274:NKA721274 NAD721274:NAE721274 MQH721274:MQI721274 MGL721274:MGM721274 LWP721274:LWQ721274 LMT721274:LMU721274 LCX721274:LCY721274 KTB721274:KTC721274 KJF721274:KJG721274 JZJ721274:JZK721274 JPN721274:JPO721274 JFR721274:JFS721274 IVV721274:IVW721274 ILZ721274:IMA721274 ICD721274:ICE721274 HSH721274:HSI721274 HIL721274:HIM721274 GYP721274:GYQ721274 GOT721274:GOU721274 GEX721274:GEY721274 FVB721274:FVC721274 FLF721274:FLG721274 FBJ721274:FBK721274 ERN721274:ERO721274 EHR721274:EHS721274 DXV721274:DXW721274 DNZ721274:DOA721274 DED721274:DEE721274 CUH721274:CUI721274 CKL721274:CKM721274 CAP721274:CAQ721274 BQT721274:BQU721274 BGX721274:BGY721274 AXB721274:AXC721274 ANF721274:ANG721274 ADJ721274:ADK721274 TN721274:TO721274 JR721274:JS721274 V721286:W721286 WWD655738:WWE655738 WMH655738:WMI655738 WCL655738:WCM655738 VSP655738:VSQ655738 VIT655738:VIU655738 UYX655738:UYY655738 UPB655738:UPC655738 UFF655738:UFG655738 TVJ655738:TVK655738 TLN655738:TLO655738 TBR655738:TBS655738 SRV655738:SRW655738 SHZ655738:SIA655738 RYD655738:RYE655738 ROH655738:ROI655738 REL655738:REM655738 QUP655738:QUQ655738 QKT655738:QKU655738 QAX655738:QAY655738 PRB655738:PRC655738 PHF655738:PHG655738 OXJ655738:OXK655738 ONN655738:ONO655738 ODR655738:ODS655738 NTV655738:NTW655738 NJZ655738:NKA655738 NAD655738:NAE655738 MQH655738:MQI655738 MGL655738:MGM655738 LWP655738:LWQ655738 LMT655738:LMU655738 LCX655738:LCY655738 KTB655738:KTC655738 KJF655738:KJG655738 JZJ655738:JZK655738 JPN655738:JPO655738 JFR655738:JFS655738 IVV655738:IVW655738 ILZ655738:IMA655738 ICD655738:ICE655738 HSH655738:HSI655738 HIL655738:HIM655738 GYP655738:GYQ655738 GOT655738:GOU655738 GEX655738:GEY655738 FVB655738:FVC655738 FLF655738:FLG655738 FBJ655738:FBK655738 ERN655738:ERO655738 EHR655738:EHS655738 DXV655738:DXW655738 DNZ655738:DOA655738 DED655738:DEE655738 CUH655738:CUI655738 CKL655738:CKM655738 CAP655738:CAQ655738 BQT655738:BQU655738 BGX655738:BGY655738 AXB655738:AXC655738 ANF655738:ANG655738 ADJ655738:ADK655738 TN655738:TO655738 JR655738:JS655738 V655750:W655750 WWD590202:WWE590202 WMH590202:WMI590202 WCL590202:WCM590202 VSP590202:VSQ590202 VIT590202:VIU590202 UYX590202:UYY590202 UPB590202:UPC590202 UFF590202:UFG590202 TVJ590202:TVK590202 TLN590202:TLO590202 TBR590202:TBS590202 SRV590202:SRW590202 SHZ590202:SIA590202 RYD590202:RYE590202 ROH590202:ROI590202 REL590202:REM590202 QUP590202:QUQ590202 QKT590202:QKU590202 QAX590202:QAY590202 PRB590202:PRC590202 PHF590202:PHG590202 OXJ590202:OXK590202 ONN590202:ONO590202 ODR590202:ODS590202 NTV590202:NTW590202 NJZ590202:NKA590202 NAD590202:NAE590202 MQH590202:MQI590202 MGL590202:MGM590202 LWP590202:LWQ590202 LMT590202:LMU590202 LCX590202:LCY590202 KTB590202:KTC590202 KJF590202:KJG590202 JZJ590202:JZK590202 JPN590202:JPO590202 JFR590202:JFS590202 IVV590202:IVW590202 ILZ590202:IMA590202 ICD590202:ICE590202 HSH590202:HSI590202 HIL590202:HIM590202 GYP590202:GYQ590202 GOT590202:GOU590202 GEX590202:GEY590202 FVB590202:FVC590202 FLF590202:FLG590202 FBJ590202:FBK590202 ERN590202:ERO590202 EHR590202:EHS590202 DXV590202:DXW590202 DNZ590202:DOA590202 DED590202:DEE590202 CUH590202:CUI590202 CKL590202:CKM590202 CAP590202:CAQ590202 BQT590202:BQU590202 BGX590202:BGY590202 AXB590202:AXC590202 ANF590202:ANG590202 ADJ590202:ADK590202 TN590202:TO590202 JR590202:JS590202 V590214:W590214 WWD524666:WWE524666 WMH524666:WMI524666 WCL524666:WCM524666 VSP524666:VSQ524666 VIT524666:VIU524666 UYX524666:UYY524666 UPB524666:UPC524666 UFF524666:UFG524666 TVJ524666:TVK524666 TLN524666:TLO524666 TBR524666:TBS524666 SRV524666:SRW524666 SHZ524666:SIA524666 RYD524666:RYE524666 ROH524666:ROI524666 REL524666:REM524666 QUP524666:QUQ524666 QKT524666:QKU524666 QAX524666:QAY524666 PRB524666:PRC524666 PHF524666:PHG524666 OXJ524666:OXK524666 ONN524666:ONO524666 ODR524666:ODS524666 NTV524666:NTW524666 NJZ524666:NKA524666 NAD524666:NAE524666 MQH524666:MQI524666 MGL524666:MGM524666 LWP524666:LWQ524666 LMT524666:LMU524666 LCX524666:LCY524666 KTB524666:KTC524666 KJF524666:KJG524666 JZJ524666:JZK524666 JPN524666:JPO524666 JFR524666:JFS524666 IVV524666:IVW524666 ILZ524666:IMA524666 ICD524666:ICE524666 HSH524666:HSI524666 HIL524666:HIM524666 GYP524666:GYQ524666 GOT524666:GOU524666 GEX524666:GEY524666 FVB524666:FVC524666 FLF524666:FLG524666 FBJ524666:FBK524666 ERN524666:ERO524666 EHR524666:EHS524666 DXV524666:DXW524666 DNZ524666:DOA524666 DED524666:DEE524666 CUH524666:CUI524666 CKL524666:CKM524666 CAP524666:CAQ524666 BQT524666:BQU524666 BGX524666:BGY524666 AXB524666:AXC524666 ANF524666:ANG524666 ADJ524666:ADK524666 TN524666:TO524666 JR524666:JS524666 V524678:W524678 WWD459130:WWE459130 WMH459130:WMI459130 WCL459130:WCM459130 VSP459130:VSQ459130 VIT459130:VIU459130 UYX459130:UYY459130 UPB459130:UPC459130 UFF459130:UFG459130 TVJ459130:TVK459130 TLN459130:TLO459130 TBR459130:TBS459130 SRV459130:SRW459130 SHZ459130:SIA459130 RYD459130:RYE459130 ROH459130:ROI459130 REL459130:REM459130 QUP459130:QUQ459130 QKT459130:QKU459130 QAX459130:QAY459130 PRB459130:PRC459130 PHF459130:PHG459130 OXJ459130:OXK459130 ONN459130:ONO459130 ODR459130:ODS459130 NTV459130:NTW459130 NJZ459130:NKA459130 NAD459130:NAE459130 MQH459130:MQI459130 MGL459130:MGM459130 LWP459130:LWQ459130 LMT459130:LMU459130 LCX459130:LCY459130 KTB459130:KTC459130 KJF459130:KJG459130 JZJ459130:JZK459130 JPN459130:JPO459130 JFR459130:JFS459130 IVV459130:IVW459130 ILZ459130:IMA459130 ICD459130:ICE459130 HSH459130:HSI459130 HIL459130:HIM459130 GYP459130:GYQ459130 GOT459130:GOU459130 GEX459130:GEY459130 FVB459130:FVC459130 FLF459130:FLG459130 FBJ459130:FBK459130 ERN459130:ERO459130 EHR459130:EHS459130 DXV459130:DXW459130 DNZ459130:DOA459130 DED459130:DEE459130 CUH459130:CUI459130 CKL459130:CKM459130 CAP459130:CAQ459130 BQT459130:BQU459130 BGX459130:BGY459130 AXB459130:AXC459130 ANF459130:ANG459130 ADJ459130:ADK459130 TN459130:TO459130 JR459130:JS459130 V459142:W459142 WWD393594:WWE393594 WMH393594:WMI393594 WCL393594:WCM393594 VSP393594:VSQ393594 VIT393594:VIU393594 UYX393594:UYY393594 UPB393594:UPC393594 UFF393594:UFG393594 TVJ393594:TVK393594 TLN393594:TLO393594 TBR393594:TBS393594 SRV393594:SRW393594 SHZ393594:SIA393594 RYD393594:RYE393594 ROH393594:ROI393594 REL393594:REM393594 QUP393594:QUQ393594 QKT393594:QKU393594 QAX393594:QAY393594 PRB393594:PRC393594 PHF393594:PHG393594 OXJ393594:OXK393594 ONN393594:ONO393594 ODR393594:ODS393594 NTV393594:NTW393594 NJZ393594:NKA393594 NAD393594:NAE393594 MQH393594:MQI393594 MGL393594:MGM393594 LWP393594:LWQ393594 LMT393594:LMU393594 LCX393594:LCY393594 KTB393594:KTC393594 KJF393594:KJG393594 JZJ393594:JZK393594 JPN393594:JPO393594 JFR393594:JFS393594 IVV393594:IVW393594 ILZ393594:IMA393594 ICD393594:ICE393594 HSH393594:HSI393594 HIL393594:HIM393594 GYP393594:GYQ393594 GOT393594:GOU393594 GEX393594:GEY393594 FVB393594:FVC393594 FLF393594:FLG393594 FBJ393594:FBK393594 ERN393594:ERO393594 EHR393594:EHS393594 DXV393594:DXW393594 DNZ393594:DOA393594 DED393594:DEE393594 CUH393594:CUI393594 CKL393594:CKM393594 CAP393594:CAQ393594 BQT393594:BQU393594 BGX393594:BGY393594 AXB393594:AXC393594 ANF393594:ANG393594 ADJ393594:ADK393594 TN393594:TO393594 JR393594:JS393594 V393606:W393606 WWD328058:WWE328058 WMH328058:WMI328058 WCL328058:WCM328058 VSP328058:VSQ328058 VIT328058:VIU328058 UYX328058:UYY328058 UPB328058:UPC328058 UFF328058:UFG328058 TVJ328058:TVK328058 TLN328058:TLO328058 TBR328058:TBS328058 SRV328058:SRW328058 SHZ328058:SIA328058 RYD328058:RYE328058 ROH328058:ROI328058 REL328058:REM328058 QUP328058:QUQ328058 QKT328058:QKU328058 QAX328058:QAY328058 PRB328058:PRC328058 PHF328058:PHG328058 OXJ328058:OXK328058 ONN328058:ONO328058 ODR328058:ODS328058 NTV328058:NTW328058 NJZ328058:NKA328058 NAD328058:NAE328058 MQH328058:MQI328058 MGL328058:MGM328058 LWP328058:LWQ328058 LMT328058:LMU328058 LCX328058:LCY328058 KTB328058:KTC328058 KJF328058:KJG328058 JZJ328058:JZK328058 JPN328058:JPO328058 JFR328058:JFS328058 IVV328058:IVW328058 ILZ328058:IMA328058 ICD328058:ICE328058 HSH328058:HSI328058 HIL328058:HIM328058 GYP328058:GYQ328058 GOT328058:GOU328058 GEX328058:GEY328058 FVB328058:FVC328058 FLF328058:FLG328058 FBJ328058:FBK328058 ERN328058:ERO328058 EHR328058:EHS328058 DXV328058:DXW328058 DNZ328058:DOA328058 DED328058:DEE328058 CUH328058:CUI328058 CKL328058:CKM328058 CAP328058:CAQ328058 BQT328058:BQU328058 BGX328058:BGY328058 AXB328058:AXC328058 ANF328058:ANG328058 ADJ328058:ADK328058 TN328058:TO328058 JR328058:JS328058 V328070:W328070 WWD262522:WWE262522 WMH262522:WMI262522 WCL262522:WCM262522 VSP262522:VSQ262522 VIT262522:VIU262522 UYX262522:UYY262522 UPB262522:UPC262522 UFF262522:UFG262522 TVJ262522:TVK262522 TLN262522:TLO262522 TBR262522:TBS262522 SRV262522:SRW262522 SHZ262522:SIA262522 RYD262522:RYE262522 ROH262522:ROI262522 REL262522:REM262522 QUP262522:QUQ262522 QKT262522:QKU262522 QAX262522:QAY262522 PRB262522:PRC262522 PHF262522:PHG262522 OXJ262522:OXK262522 ONN262522:ONO262522 ODR262522:ODS262522 NTV262522:NTW262522 NJZ262522:NKA262522 NAD262522:NAE262522 MQH262522:MQI262522 MGL262522:MGM262522 LWP262522:LWQ262522 LMT262522:LMU262522 LCX262522:LCY262522 KTB262522:KTC262522 KJF262522:KJG262522 JZJ262522:JZK262522 JPN262522:JPO262522 JFR262522:JFS262522 IVV262522:IVW262522 ILZ262522:IMA262522 ICD262522:ICE262522 HSH262522:HSI262522 HIL262522:HIM262522 GYP262522:GYQ262522 GOT262522:GOU262522 GEX262522:GEY262522 FVB262522:FVC262522 FLF262522:FLG262522 FBJ262522:FBK262522 ERN262522:ERO262522 EHR262522:EHS262522 DXV262522:DXW262522 DNZ262522:DOA262522 DED262522:DEE262522 CUH262522:CUI262522 CKL262522:CKM262522 CAP262522:CAQ262522 BQT262522:BQU262522 BGX262522:BGY262522 AXB262522:AXC262522 ANF262522:ANG262522 ADJ262522:ADK262522 TN262522:TO262522 JR262522:JS262522 V262534:W262534 WWD196986:WWE196986 WMH196986:WMI196986 WCL196986:WCM196986 VSP196986:VSQ196986 VIT196986:VIU196986 UYX196986:UYY196986 UPB196986:UPC196986 UFF196986:UFG196986 TVJ196986:TVK196986 TLN196986:TLO196986 TBR196986:TBS196986 SRV196986:SRW196986 SHZ196986:SIA196986 RYD196986:RYE196986 ROH196986:ROI196986 REL196986:REM196986 QUP196986:QUQ196986 QKT196986:QKU196986 QAX196986:QAY196986 PRB196986:PRC196986 PHF196986:PHG196986 OXJ196986:OXK196986 ONN196986:ONO196986 ODR196986:ODS196986 NTV196986:NTW196986 NJZ196986:NKA196986 NAD196986:NAE196986 MQH196986:MQI196986 MGL196986:MGM196986 LWP196986:LWQ196986 LMT196986:LMU196986 LCX196986:LCY196986 KTB196986:KTC196986 KJF196986:KJG196986 JZJ196986:JZK196986 JPN196986:JPO196986 JFR196986:JFS196986 IVV196986:IVW196986 ILZ196986:IMA196986 ICD196986:ICE196986 HSH196986:HSI196986 HIL196986:HIM196986 GYP196986:GYQ196986 GOT196986:GOU196986 GEX196986:GEY196986 FVB196986:FVC196986 FLF196986:FLG196986 FBJ196986:FBK196986 ERN196986:ERO196986 EHR196986:EHS196986 DXV196986:DXW196986 DNZ196986:DOA196986 DED196986:DEE196986 CUH196986:CUI196986 CKL196986:CKM196986 CAP196986:CAQ196986 BQT196986:BQU196986 BGX196986:BGY196986 AXB196986:AXC196986 ANF196986:ANG196986 ADJ196986:ADK196986 TN196986:TO196986 JR196986:JS196986 V196998:W196998 WWD131450:WWE131450 WMH131450:WMI131450 WCL131450:WCM131450 VSP131450:VSQ131450 VIT131450:VIU131450 UYX131450:UYY131450 UPB131450:UPC131450 UFF131450:UFG131450 TVJ131450:TVK131450 TLN131450:TLO131450 TBR131450:TBS131450 SRV131450:SRW131450 SHZ131450:SIA131450 RYD131450:RYE131450 ROH131450:ROI131450 REL131450:REM131450 QUP131450:QUQ131450 QKT131450:QKU131450 QAX131450:QAY131450 PRB131450:PRC131450 PHF131450:PHG131450 OXJ131450:OXK131450 ONN131450:ONO131450 ODR131450:ODS131450 NTV131450:NTW131450 NJZ131450:NKA131450 NAD131450:NAE131450 MQH131450:MQI131450 MGL131450:MGM131450 LWP131450:LWQ131450 LMT131450:LMU131450 LCX131450:LCY131450 KTB131450:KTC131450 KJF131450:KJG131450 JZJ131450:JZK131450 JPN131450:JPO131450 JFR131450:JFS131450 IVV131450:IVW131450 ILZ131450:IMA131450 ICD131450:ICE131450 HSH131450:HSI131450 HIL131450:HIM131450 GYP131450:GYQ131450 GOT131450:GOU131450 GEX131450:GEY131450 FVB131450:FVC131450 FLF131450:FLG131450 FBJ131450:FBK131450 ERN131450:ERO131450 EHR131450:EHS131450 DXV131450:DXW131450 DNZ131450:DOA131450 DED131450:DEE131450 CUH131450:CUI131450 CKL131450:CKM131450 CAP131450:CAQ131450 BQT131450:BQU131450 BGX131450:BGY131450 AXB131450:AXC131450 ANF131450:ANG131450 ADJ131450:ADK131450 TN131450:TO131450 JR131450:JS131450 V131462:W131462 WWD65914:WWE65914 WMH65914:WMI65914 WCL65914:WCM65914 VSP65914:VSQ65914 VIT65914:VIU65914 UYX65914:UYY65914 UPB65914:UPC65914 UFF65914:UFG65914 TVJ65914:TVK65914 TLN65914:TLO65914 TBR65914:TBS65914 SRV65914:SRW65914 SHZ65914:SIA65914 RYD65914:RYE65914 ROH65914:ROI65914 REL65914:REM65914 QUP65914:QUQ65914 QKT65914:QKU65914 QAX65914:QAY65914 PRB65914:PRC65914 PHF65914:PHG65914 OXJ65914:OXK65914 ONN65914:ONO65914 ODR65914:ODS65914 NTV65914:NTW65914 NJZ65914:NKA65914 NAD65914:NAE65914 MQH65914:MQI65914 MGL65914:MGM65914 LWP65914:LWQ65914 LMT65914:LMU65914 LCX65914:LCY65914 KTB65914:KTC65914 KJF65914:KJG65914 JZJ65914:JZK65914 JPN65914:JPO65914 JFR65914:JFS65914 IVV65914:IVW65914 ILZ65914:IMA65914 ICD65914:ICE65914 HSH65914:HSI65914 HIL65914:HIM65914 GYP65914:GYQ65914 GOT65914:GOU65914 GEX65914:GEY65914 FVB65914:FVC65914 FLF65914:FLG65914 FBJ65914:FBK65914 ERN65914:ERO65914 EHR65914:EHS65914 DXV65914:DXW65914 DNZ65914:DOA65914 DED65914:DEE65914 CUH65914:CUI65914 CKL65914:CKM65914 CAP65914:CAQ65914 BQT65914:BQU65914 BGX65914:BGY65914 AXB65914:AXC65914 ANF65914:ANG65914 ADJ65914:ADK65914 TN65914:TO65914 JR65914:JS65914 V65926:W65926 WWD417:WWE417 WMH417:WMI417 WCL417:WCM417 VSP417:VSQ417 VIT417:VIU417 UYX417:UYY417 UPB417:UPC417 UFF417:UFG417 TVJ417:TVK417 TLN417:TLO417 TBR417:TBS417 SRV417:SRW417 SHZ417:SIA417 RYD417:RYE417 ROH417:ROI417 REL417:REM417 QUP417:QUQ417 QKT417:QKU417 QAX417:QAY417 PRB417:PRC417 PHF417:PHG417 OXJ417:OXK417 ONN417:ONO417 ODR417:ODS417 NTV417:NTW417 NJZ417:NKA417 NAD417:NAE417 MQH417:MQI417 MGL417:MGM417 LWP417:LWQ417 LMT417:LMU417 LCX417:LCY417 KTB417:KTC417 KJF417:KJG417 JZJ417:JZK417 JPN417:JPO417 JFR417:JFS417 IVV417:IVW417 ILZ417:IMA417 ICD417:ICE417 HSH417:HSI417 HIL417:HIM417 GYP417:GYQ417 GOT417:GOU417 GEX417:GEY417 FVB417:FVC417 FLF417:FLG417 FBJ417:FBK417 ERN417:ERO417 EHR417:EHS417 DXV417:DXW417 DNZ417:DOA417 DED417:DEE417 CUH417:CUI417 CKL417:CKM417 CAP417:CAQ417 BQT417:BQU417 BGX417:BGY417 AXB417:AXC417 ANF417:ANG417 ADJ417:ADK417 TN417:TO417 JR417:JS417 WWD983346:WWE983346 WMH983346:WMI983346 WCL983346:WCM983346 VSP983346:VSQ983346 VIT983346:VIU983346 UYX983346:UYY983346 UPB983346:UPC983346 UFF983346:UFG983346 TVJ983346:TVK983346 TLN983346:TLO983346 TBR983346:TBS983346 SRV983346:SRW983346 SHZ983346:SIA983346 RYD983346:RYE983346 ROH983346:ROI983346 REL983346:REM983346 QUP983346:QUQ983346 QKT983346:QKU983346 QAX983346:QAY983346 PRB983346:PRC983346 PHF983346:PHG983346 OXJ983346:OXK983346 ONN983346:ONO983346 ODR983346:ODS983346 NTV983346:NTW983346 NJZ983346:NKA983346 NAD983346:NAE983346 MQH983346:MQI983346 MGL983346:MGM983346 LWP983346:LWQ983346 LMT983346:LMU983346 LCX983346:LCY983346 KTB983346:KTC983346 KJF983346:KJG983346 JZJ983346:JZK983346 JPN983346:JPO983346 JFR983346:JFS983346 IVV983346:IVW983346 ILZ983346:IMA983346 ICD983346:ICE983346 HSH983346:HSI983346 HIL983346:HIM983346 GYP983346:GYQ983346 GOT983346:GOU983346 GEX983346:GEY983346 FVB983346:FVC983346 FLF983346:FLG983346 FBJ983346:FBK983346 ERN983346:ERO983346 EHR983346:EHS983346 DXV983346:DXW983346 DNZ983346:DOA983346 DED983346:DEE983346 CUH983346:CUI983346 CKL983346:CKM983346 CAP983346:CAQ983346 BQT983346:BQU983346 BGX983346:BGY983346 AXB983346:AXC983346 ANF983346:ANG983346 ADJ983346:ADK983346 TN983346:TO983346 JR983346:JS983346 V983358:W983358 WWD917810:WWE917810 WMH917810:WMI917810 WCL917810:WCM917810 VSP917810:VSQ917810 VIT917810:VIU917810 UYX917810:UYY917810 UPB917810:UPC917810 UFF917810:UFG917810 TVJ917810:TVK917810 TLN917810:TLO917810 TBR917810:TBS917810 SRV917810:SRW917810 SHZ917810:SIA917810 RYD917810:RYE917810 ROH917810:ROI917810 REL917810:REM917810 QUP917810:QUQ917810 QKT917810:QKU917810 QAX917810:QAY917810 PRB917810:PRC917810 PHF917810:PHG917810 OXJ917810:OXK917810 ONN917810:ONO917810 ODR917810:ODS917810 NTV917810:NTW917810 NJZ917810:NKA917810 NAD917810:NAE917810 MQH917810:MQI917810 MGL917810:MGM917810 LWP917810:LWQ917810 LMT917810:LMU917810 LCX917810:LCY917810 KTB917810:KTC917810 KJF917810:KJG917810 JZJ917810:JZK917810 JPN917810:JPO917810 JFR917810:JFS917810 IVV917810:IVW917810 ILZ917810:IMA917810 ICD917810:ICE917810 HSH917810:HSI917810 HIL917810:HIM917810 GYP917810:GYQ917810 GOT917810:GOU917810 GEX917810:GEY917810 FVB917810:FVC917810 FLF917810:FLG917810 FBJ917810:FBK917810 ERN917810:ERO917810 EHR917810:EHS917810 DXV917810:DXW917810 DNZ917810:DOA917810 DED917810:DEE917810 CUH917810:CUI917810 CKL917810:CKM917810 CAP917810:CAQ917810 BQT917810:BQU917810 BGX917810:BGY917810 AXB917810:AXC917810 ANF917810:ANG917810 ADJ917810:ADK917810 TN917810:TO917810 JR917810:JS917810 V917822:W917822 WWD852274:WWE852274 WMH852274:WMI852274 WCL852274:WCM852274 VSP852274:VSQ852274 VIT852274:VIU852274 UYX852274:UYY852274 UPB852274:UPC852274 UFF852274:UFG852274 TVJ852274:TVK852274 TLN852274:TLO852274 TBR852274:TBS852274 SRV852274:SRW852274 SHZ852274:SIA852274 RYD852274:RYE852274 ROH852274:ROI852274 REL852274:REM852274 QUP852274:QUQ852274 QKT852274:QKU852274 QAX852274:QAY852274 PRB852274:PRC852274 PHF852274:PHG852274 OXJ852274:OXK852274 ONN852274:ONO852274 ODR852274:ODS852274 NTV852274:NTW852274 NJZ852274:NKA852274 NAD852274:NAE852274 MQH852274:MQI852274 MGL852274:MGM852274 LWP852274:LWQ852274 LMT852274:LMU852274 LCX852274:LCY852274 KTB852274:KTC852274 KJF852274:KJG852274 JZJ852274:JZK852274 JPN852274:JPO852274 JFR852274:JFS852274 IVV852274:IVW852274 ILZ852274:IMA852274 ICD852274:ICE852274 HSH852274:HSI852274 HIL852274:HIM852274 GYP852274:GYQ852274 GOT852274:GOU852274 GEX852274:GEY852274 FVB852274:FVC852274 FLF852274:FLG852274 FBJ852274:FBK852274 ERN852274:ERO852274 EHR852274:EHS852274 DXV852274:DXW852274 DNZ852274:DOA852274 DED852274:DEE852274 CUH852274:CUI852274 CKL852274:CKM852274 CAP852274:CAQ852274 BQT852274:BQU852274 BGX852274:BGY852274 AXB852274:AXC852274 ANF852274:ANG852274 ADJ852274:ADK852274 TN852274:TO852274 JR852274:JS852274 V852286:W852286 WWD786738:WWE786738 WMH786738:WMI786738 WCL786738:WCM786738 VSP786738:VSQ786738 VIT786738:VIU786738 UYX786738:UYY786738 UPB786738:UPC786738 UFF786738:UFG786738 TVJ786738:TVK786738 TLN786738:TLO786738 TBR786738:TBS786738 SRV786738:SRW786738 SHZ786738:SIA786738 RYD786738:RYE786738 ROH786738:ROI786738 REL786738:REM786738 QUP786738:QUQ786738 QKT786738:QKU786738 QAX786738:QAY786738 PRB786738:PRC786738 PHF786738:PHG786738 OXJ786738:OXK786738 ONN786738:ONO786738 ODR786738:ODS786738 NTV786738:NTW786738 NJZ786738:NKA786738 NAD786738:NAE786738 MQH786738:MQI786738 MGL786738:MGM786738 LWP786738:LWQ786738 LMT786738:LMU786738 LCX786738:LCY786738 KTB786738:KTC786738 KJF786738:KJG786738 JZJ786738:JZK786738 JPN786738:JPO786738 JFR786738:JFS786738 IVV786738:IVW786738 ILZ786738:IMA786738 ICD786738:ICE786738 HSH786738:HSI786738 HIL786738:HIM786738 GYP786738:GYQ786738 GOT786738:GOU786738 GEX786738:GEY786738 FVB786738:FVC786738 FLF786738:FLG786738 FBJ786738:FBK786738 ERN786738:ERO786738 EHR786738:EHS786738 DXV786738:DXW786738 DNZ786738:DOA786738 DED786738:DEE786738 CUH786738:CUI786738 CKL786738:CKM786738 CAP786738:CAQ786738 BQT786738:BQU786738 BGX786738:BGY786738 AXB786738:AXC786738 ANF786738:ANG786738 ADJ786738:ADK786738 TN786738:TO786738 JR786738:JS786738 V786750:W786750 WWD721202:WWE721202 WMH721202:WMI721202 WCL721202:WCM721202 VSP721202:VSQ721202 VIT721202:VIU721202 UYX721202:UYY721202 UPB721202:UPC721202 UFF721202:UFG721202 TVJ721202:TVK721202 TLN721202:TLO721202 TBR721202:TBS721202 SRV721202:SRW721202 SHZ721202:SIA721202 RYD721202:RYE721202 ROH721202:ROI721202 REL721202:REM721202 QUP721202:QUQ721202 QKT721202:QKU721202 QAX721202:QAY721202 PRB721202:PRC721202 PHF721202:PHG721202 OXJ721202:OXK721202 ONN721202:ONO721202 ODR721202:ODS721202 NTV721202:NTW721202 NJZ721202:NKA721202 NAD721202:NAE721202 MQH721202:MQI721202 MGL721202:MGM721202 LWP721202:LWQ721202 LMT721202:LMU721202 LCX721202:LCY721202 KTB721202:KTC721202 KJF721202:KJG721202 JZJ721202:JZK721202 JPN721202:JPO721202 JFR721202:JFS721202 IVV721202:IVW721202 ILZ721202:IMA721202 ICD721202:ICE721202 HSH721202:HSI721202 HIL721202:HIM721202 GYP721202:GYQ721202 GOT721202:GOU721202 GEX721202:GEY721202 FVB721202:FVC721202 FLF721202:FLG721202 FBJ721202:FBK721202 ERN721202:ERO721202 EHR721202:EHS721202 DXV721202:DXW721202 DNZ721202:DOA721202 DED721202:DEE721202 CUH721202:CUI721202 CKL721202:CKM721202 CAP721202:CAQ721202 BQT721202:BQU721202 BGX721202:BGY721202 AXB721202:AXC721202 ANF721202:ANG721202 ADJ721202:ADK721202 TN721202:TO721202 JR721202:JS721202 V721214:W721214 WWD655666:WWE655666 WMH655666:WMI655666 WCL655666:WCM655666 VSP655666:VSQ655666 VIT655666:VIU655666 UYX655666:UYY655666 UPB655666:UPC655666 UFF655666:UFG655666 TVJ655666:TVK655666 TLN655666:TLO655666 TBR655666:TBS655666 SRV655666:SRW655666 SHZ655666:SIA655666 RYD655666:RYE655666 ROH655666:ROI655666 REL655666:REM655666 QUP655666:QUQ655666 QKT655666:QKU655666 QAX655666:QAY655666 PRB655666:PRC655666 PHF655666:PHG655666 OXJ655666:OXK655666 ONN655666:ONO655666 ODR655666:ODS655666 NTV655666:NTW655666 NJZ655666:NKA655666 NAD655666:NAE655666 MQH655666:MQI655666 MGL655666:MGM655666 LWP655666:LWQ655666 LMT655666:LMU655666 LCX655666:LCY655666 KTB655666:KTC655666 KJF655666:KJG655666 JZJ655666:JZK655666 JPN655666:JPO655666 JFR655666:JFS655666 IVV655666:IVW655666 ILZ655666:IMA655666 ICD655666:ICE655666 HSH655666:HSI655666 HIL655666:HIM655666 GYP655666:GYQ655666 GOT655666:GOU655666 GEX655666:GEY655666 FVB655666:FVC655666 FLF655666:FLG655666 FBJ655666:FBK655666 ERN655666:ERO655666 EHR655666:EHS655666 DXV655666:DXW655666 DNZ655666:DOA655666 DED655666:DEE655666 CUH655666:CUI655666 CKL655666:CKM655666 CAP655666:CAQ655666 BQT655666:BQU655666 BGX655666:BGY655666 AXB655666:AXC655666 ANF655666:ANG655666 ADJ655666:ADK655666 TN655666:TO655666 JR655666:JS655666 V655678:W655678 WWD590130:WWE590130 WMH590130:WMI590130 WCL590130:WCM590130 VSP590130:VSQ590130 VIT590130:VIU590130 UYX590130:UYY590130 UPB590130:UPC590130 UFF590130:UFG590130 TVJ590130:TVK590130 TLN590130:TLO590130 TBR590130:TBS590130 SRV590130:SRW590130 SHZ590130:SIA590130 RYD590130:RYE590130 ROH590130:ROI590130 REL590130:REM590130 QUP590130:QUQ590130 QKT590130:QKU590130 QAX590130:QAY590130 PRB590130:PRC590130 PHF590130:PHG590130 OXJ590130:OXK590130 ONN590130:ONO590130 ODR590130:ODS590130 NTV590130:NTW590130 NJZ590130:NKA590130 NAD590130:NAE590130 MQH590130:MQI590130 MGL590130:MGM590130 LWP590130:LWQ590130 LMT590130:LMU590130 LCX590130:LCY590130 KTB590130:KTC590130 KJF590130:KJG590130 JZJ590130:JZK590130 JPN590130:JPO590130 JFR590130:JFS590130 IVV590130:IVW590130 ILZ590130:IMA590130 ICD590130:ICE590130 HSH590130:HSI590130 HIL590130:HIM590130 GYP590130:GYQ590130 GOT590130:GOU590130 GEX590130:GEY590130 FVB590130:FVC590130 FLF590130:FLG590130 FBJ590130:FBK590130 ERN590130:ERO590130 EHR590130:EHS590130 DXV590130:DXW590130 DNZ590130:DOA590130 DED590130:DEE590130 CUH590130:CUI590130 CKL590130:CKM590130 CAP590130:CAQ590130 BQT590130:BQU590130 BGX590130:BGY590130 AXB590130:AXC590130 ANF590130:ANG590130 ADJ590130:ADK590130 TN590130:TO590130 JR590130:JS590130 V590142:W590142 WWD524594:WWE524594 WMH524594:WMI524594 WCL524594:WCM524594 VSP524594:VSQ524594 VIT524594:VIU524594 UYX524594:UYY524594 UPB524594:UPC524594 UFF524594:UFG524594 TVJ524594:TVK524594 TLN524594:TLO524594 TBR524594:TBS524594 SRV524594:SRW524594 SHZ524594:SIA524594 RYD524594:RYE524594 ROH524594:ROI524594 REL524594:REM524594 QUP524594:QUQ524594 QKT524594:QKU524594 QAX524594:QAY524594 PRB524594:PRC524594 PHF524594:PHG524594 OXJ524594:OXK524594 ONN524594:ONO524594 ODR524594:ODS524594 NTV524594:NTW524594 NJZ524594:NKA524594 NAD524594:NAE524594 MQH524594:MQI524594 MGL524594:MGM524594 LWP524594:LWQ524594 LMT524594:LMU524594 LCX524594:LCY524594 KTB524594:KTC524594 KJF524594:KJG524594 JZJ524594:JZK524594 JPN524594:JPO524594 JFR524594:JFS524594 IVV524594:IVW524594 ILZ524594:IMA524594 ICD524594:ICE524594 HSH524594:HSI524594 HIL524594:HIM524594 GYP524594:GYQ524594 GOT524594:GOU524594 GEX524594:GEY524594 FVB524594:FVC524594 FLF524594:FLG524594 FBJ524594:FBK524594 ERN524594:ERO524594 EHR524594:EHS524594 DXV524594:DXW524594 DNZ524594:DOA524594 DED524594:DEE524594 CUH524594:CUI524594 CKL524594:CKM524594 CAP524594:CAQ524594 BQT524594:BQU524594 BGX524594:BGY524594 AXB524594:AXC524594 ANF524594:ANG524594 ADJ524594:ADK524594 TN524594:TO524594 JR524594:JS524594 V524606:W524606 WWD459058:WWE459058 WMH459058:WMI459058 WCL459058:WCM459058 VSP459058:VSQ459058 VIT459058:VIU459058 UYX459058:UYY459058 UPB459058:UPC459058 UFF459058:UFG459058 TVJ459058:TVK459058 TLN459058:TLO459058 TBR459058:TBS459058 SRV459058:SRW459058 SHZ459058:SIA459058 RYD459058:RYE459058 ROH459058:ROI459058 REL459058:REM459058 QUP459058:QUQ459058 QKT459058:QKU459058 QAX459058:QAY459058 PRB459058:PRC459058 PHF459058:PHG459058 OXJ459058:OXK459058 ONN459058:ONO459058 ODR459058:ODS459058 NTV459058:NTW459058 NJZ459058:NKA459058 NAD459058:NAE459058 MQH459058:MQI459058 MGL459058:MGM459058 LWP459058:LWQ459058 LMT459058:LMU459058 LCX459058:LCY459058 KTB459058:KTC459058 KJF459058:KJG459058 JZJ459058:JZK459058 JPN459058:JPO459058 JFR459058:JFS459058 IVV459058:IVW459058 ILZ459058:IMA459058 ICD459058:ICE459058 HSH459058:HSI459058 HIL459058:HIM459058 GYP459058:GYQ459058 GOT459058:GOU459058 GEX459058:GEY459058 FVB459058:FVC459058 FLF459058:FLG459058 FBJ459058:FBK459058 ERN459058:ERO459058 EHR459058:EHS459058 DXV459058:DXW459058 DNZ459058:DOA459058 DED459058:DEE459058 CUH459058:CUI459058 CKL459058:CKM459058 CAP459058:CAQ459058 BQT459058:BQU459058 BGX459058:BGY459058 AXB459058:AXC459058 ANF459058:ANG459058 ADJ459058:ADK459058 TN459058:TO459058 JR459058:JS459058 V459070:W459070 WWD393522:WWE393522 WMH393522:WMI393522 WCL393522:WCM393522 VSP393522:VSQ393522 VIT393522:VIU393522 UYX393522:UYY393522 UPB393522:UPC393522 UFF393522:UFG393522 TVJ393522:TVK393522 TLN393522:TLO393522 TBR393522:TBS393522 SRV393522:SRW393522 SHZ393522:SIA393522 RYD393522:RYE393522 ROH393522:ROI393522 REL393522:REM393522 QUP393522:QUQ393522 QKT393522:QKU393522 QAX393522:QAY393522 PRB393522:PRC393522 PHF393522:PHG393522 OXJ393522:OXK393522 ONN393522:ONO393522 ODR393522:ODS393522 NTV393522:NTW393522 NJZ393522:NKA393522 NAD393522:NAE393522 MQH393522:MQI393522 MGL393522:MGM393522 LWP393522:LWQ393522 LMT393522:LMU393522 LCX393522:LCY393522 KTB393522:KTC393522 KJF393522:KJG393522 JZJ393522:JZK393522 JPN393522:JPO393522 JFR393522:JFS393522 IVV393522:IVW393522 ILZ393522:IMA393522 ICD393522:ICE393522 HSH393522:HSI393522 HIL393522:HIM393522 GYP393522:GYQ393522 GOT393522:GOU393522 GEX393522:GEY393522 FVB393522:FVC393522 FLF393522:FLG393522 FBJ393522:FBK393522 ERN393522:ERO393522 EHR393522:EHS393522 DXV393522:DXW393522 DNZ393522:DOA393522 DED393522:DEE393522 CUH393522:CUI393522 CKL393522:CKM393522 CAP393522:CAQ393522 BQT393522:BQU393522 BGX393522:BGY393522 AXB393522:AXC393522 ANF393522:ANG393522 ADJ393522:ADK393522 TN393522:TO393522 JR393522:JS393522 V393534:W393534 WWD327986:WWE327986 WMH327986:WMI327986 WCL327986:WCM327986 VSP327986:VSQ327986 VIT327986:VIU327986 UYX327986:UYY327986 UPB327986:UPC327986 UFF327986:UFG327986 TVJ327986:TVK327986 TLN327986:TLO327986 TBR327986:TBS327986 SRV327986:SRW327986 SHZ327986:SIA327986 RYD327986:RYE327986 ROH327986:ROI327986 REL327986:REM327986 QUP327986:QUQ327986 QKT327986:QKU327986 QAX327986:QAY327986 PRB327986:PRC327986 PHF327986:PHG327986 OXJ327986:OXK327986 ONN327986:ONO327986 ODR327986:ODS327986 NTV327986:NTW327986 NJZ327986:NKA327986 NAD327986:NAE327986 MQH327986:MQI327986 MGL327986:MGM327986 LWP327986:LWQ327986 LMT327986:LMU327986 LCX327986:LCY327986 KTB327986:KTC327986 KJF327986:KJG327986 JZJ327986:JZK327986 JPN327986:JPO327986 JFR327986:JFS327986 IVV327986:IVW327986 ILZ327986:IMA327986 ICD327986:ICE327986 HSH327986:HSI327986 HIL327986:HIM327986 GYP327986:GYQ327986 GOT327986:GOU327986 GEX327986:GEY327986 FVB327986:FVC327986 FLF327986:FLG327986 FBJ327986:FBK327986 ERN327986:ERO327986 EHR327986:EHS327986 DXV327986:DXW327986 DNZ327986:DOA327986 DED327986:DEE327986 CUH327986:CUI327986 CKL327986:CKM327986 CAP327986:CAQ327986 BQT327986:BQU327986 BGX327986:BGY327986 AXB327986:AXC327986 ANF327986:ANG327986 ADJ327986:ADK327986 TN327986:TO327986 JR327986:JS327986 V327998:W327998 WWD262450:WWE262450 WMH262450:WMI262450 WCL262450:WCM262450 VSP262450:VSQ262450 VIT262450:VIU262450 UYX262450:UYY262450 UPB262450:UPC262450 UFF262450:UFG262450 TVJ262450:TVK262450 TLN262450:TLO262450 TBR262450:TBS262450 SRV262450:SRW262450 SHZ262450:SIA262450 RYD262450:RYE262450 ROH262450:ROI262450 REL262450:REM262450 QUP262450:QUQ262450 QKT262450:QKU262450 QAX262450:QAY262450 PRB262450:PRC262450 PHF262450:PHG262450 OXJ262450:OXK262450 ONN262450:ONO262450 ODR262450:ODS262450 NTV262450:NTW262450 NJZ262450:NKA262450 NAD262450:NAE262450 MQH262450:MQI262450 MGL262450:MGM262450 LWP262450:LWQ262450 LMT262450:LMU262450 LCX262450:LCY262450 KTB262450:KTC262450 KJF262450:KJG262450 JZJ262450:JZK262450 JPN262450:JPO262450 JFR262450:JFS262450 IVV262450:IVW262450 ILZ262450:IMA262450 ICD262450:ICE262450 HSH262450:HSI262450 HIL262450:HIM262450 GYP262450:GYQ262450 GOT262450:GOU262450 GEX262450:GEY262450 FVB262450:FVC262450 FLF262450:FLG262450 FBJ262450:FBK262450 ERN262450:ERO262450 EHR262450:EHS262450 DXV262450:DXW262450 DNZ262450:DOA262450 DED262450:DEE262450 CUH262450:CUI262450 CKL262450:CKM262450 CAP262450:CAQ262450 BQT262450:BQU262450 BGX262450:BGY262450 AXB262450:AXC262450 ANF262450:ANG262450 ADJ262450:ADK262450 TN262450:TO262450 JR262450:JS262450 V262462:W262462 WWD196914:WWE196914 WMH196914:WMI196914 WCL196914:WCM196914 VSP196914:VSQ196914 VIT196914:VIU196914 UYX196914:UYY196914 UPB196914:UPC196914 UFF196914:UFG196914 TVJ196914:TVK196914 TLN196914:TLO196914 TBR196914:TBS196914 SRV196914:SRW196914 SHZ196914:SIA196914 RYD196914:RYE196914 ROH196914:ROI196914 REL196914:REM196914 QUP196914:QUQ196914 QKT196914:QKU196914 QAX196914:QAY196914 PRB196914:PRC196914 PHF196914:PHG196914 OXJ196914:OXK196914 ONN196914:ONO196914 ODR196914:ODS196914 NTV196914:NTW196914 NJZ196914:NKA196914 NAD196914:NAE196914 MQH196914:MQI196914 MGL196914:MGM196914 LWP196914:LWQ196914 LMT196914:LMU196914 LCX196914:LCY196914 KTB196914:KTC196914 KJF196914:KJG196914 JZJ196914:JZK196914 JPN196914:JPO196914 JFR196914:JFS196914 IVV196914:IVW196914 ILZ196914:IMA196914 ICD196914:ICE196914 HSH196914:HSI196914 HIL196914:HIM196914 GYP196914:GYQ196914 GOT196914:GOU196914 GEX196914:GEY196914 FVB196914:FVC196914 FLF196914:FLG196914 FBJ196914:FBK196914 ERN196914:ERO196914 EHR196914:EHS196914 DXV196914:DXW196914 DNZ196914:DOA196914 DED196914:DEE196914 CUH196914:CUI196914 CKL196914:CKM196914 CAP196914:CAQ196914 BQT196914:BQU196914 BGX196914:BGY196914 AXB196914:AXC196914 ANF196914:ANG196914 ADJ196914:ADK196914 TN196914:TO196914 JR196914:JS196914 V196926:W196926 WWD131378:WWE131378 WMH131378:WMI131378 WCL131378:WCM131378 VSP131378:VSQ131378 VIT131378:VIU131378 UYX131378:UYY131378 UPB131378:UPC131378 UFF131378:UFG131378 TVJ131378:TVK131378 TLN131378:TLO131378 TBR131378:TBS131378 SRV131378:SRW131378 SHZ131378:SIA131378 RYD131378:RYE131378 ROH131378:ROI131378 REL131378:REM131378 QUP131378:QUQ131378 QKT131378:QKU131378 QAX131378:QAY131378 PRB131378:PRC131378 PHF131378:PHG131378 OXJ131378:OXK131378 ONN131378:ONO131378 ODR131378:ODS131378 NTV131378:NTW131378 NJZ131378:NKA131378 NAD131378:NAE131378 MQH131378:MQI131378 MGL131378:MGM131378 LWP131378:LWQ131378 LMT131378:LMU131378 LCX131378:LCY131378 KTB131378:KTC131378 KJF131378:KJG131378 JZJ131378:JZK131378 JPN131378:JPO131378 JFR131378:JFS131378 IVV131378:IVW131378 ILZ131378:IMA131378 ICD131378:ICE131378 HSH131378:HSI131378 HIL131378:HIM131378 GYP131378:GYQ131378 GOT131378:GOU131378 GEX131378:GEY131378 FVB131378:FVC131378 FLF131378:FLG131378 FBJ131378:FBK131378 ERN131378:ERO131378 EHR131378:EHS131378 DXV131378:DXW131378 DNZ131378:DOA131378 DED131378:DEE131378 CUH131378:CUI131378 CKL131378:CKM131378 CAP131378:CAQ131378 BQT131378:BQU131378 BGX131378:BGY131378 AXB131378:AXC131378 ANF131378:ANG131378 ADJ131378:ADK131378 TN131378:TO131378 JR131378:JS131378 V131390:W131390 WWD65842:WWE65842 WMH65842:WMI65842 WCL65842:WCM65842 VSP65842:VSQ65842 VIT65842:VIU65842 UYX65842:UYY65842 UPB65842:UPC65842 UFF65842:UFG65842 TVJ65842:TVK65842 TLN65842:TLO65842 TBR65842:TBS65842 SRV65842:SRW65842 SHZ65842:SIA65842 RYD65842:RYE65842 ROH65842:ROI65842 REL65842:REM65842 QUP65842:QUQ65842 QKT65842:QKU65842 QAX65842:QAY65842 PRB65842:PRC65842 PHF65842:PHG65842 OXJ65842:OXK65842 ONN65842:ONO65842 ODR65842:ODS65842 NTV65842:NTW65842 NJZ65842:NKA65842 NAD65842:NAE65842 MQH65842:MQI65842 MGL65842:MGM65842 LWP65842:LWQ65842 LMT65842:LMU65842 LCX65842:LCY65842 KTB65842:KTC65842 KJF65842:KJG65842 JZJ65842:JZK65842 JPN65842:JPO65842 JFR65842:JFS65842 IVV65842:IVW65842 ILZ65842:IMA65842 ICD65842:ICE65842 HSH65842:HSI65842 HIL65842:HIM65842 GYP65842:GYQ65842 GOT65842:GOU65842 GEX65842:GEY65842 FVB65842:FVC65842 FLF65842:FLG65842 FBJ65842:FBK65842 ERN65842:ERO65842 EHR65842:EHS65842 DXV65842:DXW65842 DNZ65842:DOA65842 DED65842:DEE65842 CUH65842:CUI65842 CKL65842:CKM65842 CAP65842:CAQ65842 BQT65842:BQU65842 BGX65842:BGY65842 AXB65842:AXC65842 ANF65842:ANG65842 ADJ65842:ADK65842 TN65842:TO65842 JR65842:JS65842 V65854:W65854 WWD983331:WWE983331 WMH983331:WMI983331 WCL983331:WCM983331 VSP983331:VSQ983331 VIT983331:VIU983331 UYX983331:UYY983331 UPB983331:UPC983331 UFF983331:UFG983331 TVJ983331:TVK983331 TLN983331:TLO983331 TBR983331:TBS983331 SRV983331:SRW983331 SHZ983331:SIA983331 RYD983331:RYE983331 ROH983331:ROI983331 REL983331:REM983331 QUP983331:QUQ983331 QKT983331:QKU983331 QAX983331:QAY983331 PRB983331:PRC983331 PHF983331:PHG983331 OXJ983331:OXK983331 ONN983331:ONO983331 ODR983331:ODS983331 NTV983331:NTW983331 NJZ983331:NKA983331 NAD983331:NAE983331 MQH983331:MQI983331 MGL983331:MGM983331 LWP983331:LWQ983331 LMT983331:LMU983331 LCX983331:LCY983331 KTB983331:KTC983331 KJF983331:KJG983331 JZJ983331:JZK983331 JPN983331:JPO983331 JFR983331:JFS983331 IVV983331:IVW983331 ILZ983331:IMA983331 ICD983331:ICE983331 HSH983331:HSI983331 HIL983331:HIM983331 GYP983331:GYQ983331 GOT983331:GOU983331 GEX983331:GEY983331 FVB983331:FVC983331 FLF983331:FLG983331 FBJ983331:FBK983331 ERN983331:ERO983331 EHR983331:EHS983331 DXV983331:DXW983331 DNZ983331:DOA983331 DED983331:DEE983331 CUH983331:CUI983331 CKL983331:CKM983331 CAP983331:CAQ983331 BQT983331:BQU983331 BGX983331:BGY983331 AXB983331:AXC983331 ANF983331:ANG983331 ADJ983331:ADK983331 TN983331:TO983331 JR983331:JS983331 V983343:W983343 WWD917795:WWE917795 WMH917795:WMI917795 WCL917795:WCM917795 VSP917795:VSQ917795 VIT917795:VIU917795 UYX917795:UYY917795 UPB917795:UPC917795 UFF917795:UFG917795 TVJ917795:TVK917795 TLN917795:TLO917795 TBR917795:TBS917795 SRV917795:SRW917795 SHZ917795:SIA917795 RYD917795:RYE917795 ROH917795:ROI917795 REL917795:REM917795 QUP917795:QUQ917795 QKT917795:QKU917795 QAX917795:QAY917795 PRB917795:PRC917795 PHF917795:PHG917795 OXJ917795:OXK917795 ONN917795:ONO917795 ODR917795:ODS917795 NTV917795:NTW917795 NJZ917795:NKA917795 NAD917795:NAE917795 MQH917795:MQI917795 MGL917795:MGM917795 LWP917795:LWQ917795 LMT917795:LMU917795 LCX917795:LCY917795 KTB917795:KTC917795 KJF917795:KJG917795 JZJ917795:JZK917795 JPN917795:JPO917795 JFR917795:JFS917795 IVV917795:IVW917795 ILZ917795:IMA917795 ICD917795:ICE917795 HSH917795:HSI917795 HIL917795:HIM917795 GYP917795:GYQ917795 GOT917795:GOU917795 GEX917795:GEY917795 FVB917795:FVC917795 FLF917795:FLG917795 FBJ917795:FBK917795 ERN917795:ERO917795 EHR917795:EHS917795 DXV917795:DXW917795 DNZ917795:DOA917795 DED917795:DEE917795 CUH917795:CUI917795 CKL917795:CKM917795 CAP917795:CAQ917795 BQT917795:BQU917795 BGX917795:BGY917795 AXB917795:AXC917795 ANF917795:ANG917795 ADJ917795:ADK917795 TN917795:TO917795 JR917795:JS917795 V917807:W917807 WWD852259:WWE852259 WMH852259:WMI852259 WCL852259:WCM852259 VSP852259:VSQ852259 VIT852259:VIU852259 UYX852259:UYY852259 UPB852259:UPC852259 UFF852259:UFG852259 TVJ852259:TVK852259 TLN852259:TLO852259 TBR852259:TBS852259 SRV852259:SRW852259 SHZ852259:SIA852259 RYD852259:RYE852259 ROH852259:ROI852259 REL852259:REM852259 QUP852259:QUQ852259 QKT852259:QKU852259 QAX852259:QAY852259 PRB852259:PRC852259 PHF852259:PHG852259 OXJ852259:OXK852259 ONN852259:ONO852259 ODR852259:ODS852259 NTV852259:NTW852259 NJZ852259:NKA852259 NAD852259:NAE852259 MQH852259:MQI852259 MGL852259:MGM852259 LWP852259:LWQ852259 LMT852259:LMU852259 LCX852259:LCY852259 KTB852259:KTC852259 KJF852259:KJG852259 JZJ852259:JZK852259 JPN852259:JPO852259 JFR852259:JFS852259 IVV852259:IVW852259 ILZ852259:IMA852259 ICD852259:ICE852259 HSH852259:HSI852259 HIL852259:HIM852259 GYP852259:GYQ852259 GOT852259:GOU852259 GEX852259:GEY852259 FVB852259:FVC852259 FLF852259:FLG852259 FBJ852259:FBK852259 ERN852259:ERO852259 EHR852259:EHS852259 DXV852259:DXW852259 DNZ852259:DOA852259 DED852259:DEE852259 CUH852259:CUI852259 CKL852259:CKM852259 CAP852259:CAQ852259 BQT852259:BQU852259 BGX852259:BGY852259 AXB852259:AXC852259 ANF852259:ANG852259 ADJ852259:ADK852259 TN852259:TO852259 JR852259:JS852259 V852271:W852271 WWD786723:WWE786723 WMH786723:WMI786723 WCL786723:WCM786723 VSP786723:VSQ786723 VIT786723:VIU786723 UYX786723:UYY786723 UPB786723:UPC786723 UFF786723:UFG786723 TVJ786723:TVK786723 TLN786723:TLO786723 TBR786723:TBS786723 SRV786723:SRW786723 SHZ786723:SIA786723 RYD786723:RYE786723 ROH786723:ROI786723 REL786723:REM786723 QUP786723:QUQ786723 QKT786723:QKU786723 QAX786723:QAY786723 PRB786723:PRC786723 PHF786723:PHG786723 OXJ786723:OXK786723 ONN786723:ONO786723 ODR786723:ODS786723 NTV786723:NTW786723 NJZ786723:NKA786723 NAD786723:NAE786723 MQH786723:MQI786723 MGL786723:MGM786723 LWP786723:LWQ786723 LMT786723:LMU786723 LCX786723:LCY786723 KTB786723:KTC786723 KJF786723:KJG786723 JZJ786723:JZK786723 JPN786723:JPO786723 JFR786723:JFS786723 IVV786723:IVW786723 ILZ786723:IMA786723 ICD786723:ICE786723 HSH786723:HSI786723 HIL786723:HIM786723 GYP786723:GYQ786723 GOT786723:GOU786723 GEX786723:GEY786723 FVB786723:FVC786723 FLF786723:FLG786723 FBJ786723:FBK786723 ERN786723:ERO786723 EHR786723:EHS786723 DXV786723:DXW786723 DNZ786723:DOA786723 DED786723:DEE786723 CUH786723:CUI786723 CKL786723:CKM786723 CAP786723:CAQ786723 BQT786723:BQU786723 BGX786723:BGY786723 AXB786723:AXC786723 ANF786723:ANG786723 ADJ786723:ADK786723 TN786723:TO786723 JR786723:JS786723 V786735:W786735 WWD721187:WWE721187 WMH721187:WMI721187 WCL721187:WCM721187 VSP721187:VSQ721187 VIT721187:VIU721187 UYX721187:UYY721187 UPB721187:UPC721187 UFF721187:UFG721187 TVJ721187:TVK721187 TLN721187:TLO721187 TBR721187:TBS721187 SRV721187:SRW721187 SHZ721187:SIA721187 RYD721187:RYE721187 ROH721187:ROI721187 REL721187:REM721187 QUP721187:QUQ721187 QKT721187:QKU721187 QAX721187:QAY721187 PRB721187:PRC721187 PHF721187:PHG721187 OXJ721187:OXK721187 ONN721187:ONO721187 ODR721187:ODS721187 NTV721187:NTW721187 NJZ721187:NKA721187 NAD721187:NAE721187 MQH721187:MQI721187 MGL721187:MGM721187 LWP721187:LWQ721187 LMT721187:LMU721187 LCX721187:LCY721187 KTB721187:KTC721187 KJF721187:KJG721187 JZJ721187:JZK721187 JPN721187:JPO721187 JFR721187:JFS721187 IVV721187:IVW721187 ILZ721187:IMA721187 ICD721187:ICE721187 HSH721187:HSI721187 HIL721187:HIM721187 GYP721187:GYQ721187 GOT721187:GOU721187 GEX721187:GEY721187 FVB721187:FVC721187 FLF721187:FLG721187 FBJ721187:FBK721187 ERN721187:ERO721187 EHR721187:EHS721187 DXV721187:DXW721187 DNZ721187:DOA721187 DED721187:DEE721187 CUH721187:CUI721187 CKL721187:CKM721187 CAP721187:CAQ721187 BQT721187:BQU721187 BGX721187:BGY721187 AXB721187:AXC721187 ANF721187:ANG721187 ADJ721187:ADK721187 TN721187:TO721187 JR721187:JS721187 V721199:W721199 WWD655651:WWE655651 WMH655651:WMI655651 WCL655651:WCM655651 VSP655651:VSQ655651 VIT655651:VIU655651 UYX655651:UYY655651 UPB655651:UPC655651 UFF655651:UFG655651 TVJ655651:TVK655651 TLN655651:TLO655651 TBR655651:TBS655651 SRV655651:SRW655651 SHZ655651:SIA655651 RYD655651:RYE655651 ROH655651:ROI655651 REL655651:REM655651 QUP655651:QUQ655651 QKT655651:QKU655651 QAX655651:QAY655651 PRB655651:PRC655651 PHF655651:PHG655651 OXJ655651:OXK655651 ONN655651:ONO655651 ODR655651:ODS655651 NTV655651:NTW655651 NJZ655651:NKA655651 NAD655651:NAE655651 MQH655651:MQI655651 MGL655651:MGM655651 LWP655651:LWQ655651 LMT655651:LMU655651 LCX655651:LCY655651 KTB655651:KTC655651 KJF655651:KJG655651 JZJ655651:JZK655651 JPN655651:JPO655651 JFR655651:JFS655651 IVV655651:IVW655651 ILZ655651:IMA655651 ICD655651:ICE655651 HSH655651:HSI655651 HIL655651:HIM655651 GYP655651:GYQ655651 GOT655651:GOU655651 GEX655651:GEY655651 FVB655651:FVC655651 FLF655651:FLG655651 FBJ655651:FBK655651 ERN655651:ERO655651 EHR655651:EHS655651 DXV655651:DXW655651 DNZ655651:DOA655651 DED655651:DEE655651 CUH655651:CUI655651 CKL655651:CKM655651 CAP655651:CAQ655651 BQT655651:BQU655651 BGX655651:BGY655651 AXB655651:AXC655651 ANF655651:ANG655651 ADJ655651:ADK655651 TN655651:TO655651 JR655651:JS655651 V655663:W655663 WWD590115:WWE590115 WMH590115:WMI590115 WCL590115:WCM590115 VSP590115:VSQ590115 VIT590115:VIU590115 UYX590115:UYY590115 UPB590115:UPC590115 UFF590115:UFG590115 TVJ590115:TVK590115 TLN590115:TLO590115 TBR590115:TBS590115 SRV590115:SRW590115 SHZ590115:SIA590115 RYD590115:RYE590115 ROH590115:ROI590115 REL590115:REM590115 QUP590115:QUQ590115 QKT590115:QKU590115 QAX590115:QAY590115 PRB590115:PRC590115 PHF590115:PHG590115 OXJ590115:OXK590115 ONN590115:ONO590115 ODR590115:ODS590115 NTV590115:NTW590115 NJZ590115:NKA590115 NAD590115:NAE590115 MQH590115:MQI590115 MGL590115:MGM590115 LWP590115:LWQ590115 LMT590115:LMU590115 LCX590115:LCY590115 KTB590115:KTC590115 KJF590115:KJG590115 JZJ590115:JZK590115 JPN590115:JPO590115 JFR590115:JFS590115 IVV590115:IVW590115 ILZ590115:IMA590115 ICD590115:ICE590115 HSH590115:HSI590115 HIL590115:HIM590115 GYP590115:GYQ590115 GOT590115:GOU590115 GEX590115:GEY590115 FVB590115:FVC590115 FLF590115:FLG590115 FBJ590115:FBK590115 ERN590115:ERO590115 EHR590115:EHS590115 DXV590115:DXW590115 DNZ590115:DOA590115 DED590115:DEE590115 CUH590115:CUI590115 CKL590115:CKM590115 CAP590115:CAQ590115 BQT590115:BQU590115 BGX590115:BGY590115 AXB590115:AXC590115 ANF590115:ANG590115 ADJ590115:ADK590115 TN590115:TO590115 JR590115:JS590115 V590127:W590127 WWD524579:WWE524579 WMH524579:WMI524579 WCL524579:WCM524579 VSP524579:VSQ524579 VIT524579:VIU524579 UYX524579:UYY524579 UPB524579:UPC524579 UFF524579:UFG524579 TVJ524579:TVK524579 TLN524579:TLO524579 TBR524579:TBS524579 SRV524579:SRW524579 SHZ524579:SIA524579 RYD524579:RYE524579 ROH524579:ROI524579 REL524579:REM524579 QUP524579:QUQ524579 QKT524579:QKU524579 QAX524579:QAY524579 PRB524579:PRC524579 PHF524579:PHG524579 OXJ524579:OXK524579 ONN524579:ONO524579 ODR524579:ODS524579 NTV524579:NTW524579 NJZ524579:NKA524579 NAD524579:NAE524579 MQH524579:MQI524579 MGL524579:MGM524579 LWP524579:LWQ524579 LMT524579:LMU524579 LCX524579:LCY524579 KTB524579:KTC524579 KJF524579:KJG524579 JZJ524579:JZK524579 JPN524579:JPO524579 JFR524579:JFS524579 IVV524579:IVW524579 ILZ524579:IMA524579 ICD524579:ICE524579 HSH524579:HSI524579 HIL524579:HIM524579 GYP524579:GYQ524579 GOT524579:GOU524579 GEX524579:GEY524579 FVB524579:FVC524579 FLF524579:FLG524579 FBJ524579:FBK524579 ERN524579:ERO524579 EHR524579:EHS524579 DXV524579:DXW524579 DNZ524579:DOA524579 DED524579:DEE524579 CUH524579:CUI524579 CKL524579:CKM524579 CAP524579:CAQ524579 BQT524579:BQU524579 BGX524579:BGY524579 AXB524579:AXC524579 ANF524579:ANG524579 ADJ524579:ADK524579 TN524579:TO524579 JR524579:JS524579 V524591:W524591 WWD459043:WWE459043 WMH459043:WMI459043 WCL459043:WCM459043 VSP459043:VSQ459043 VIT459043:VIU459043 UYX459043:UYY459043 UPB459043:UPC459043 UFF459043:UFG459043 TVJ459043:TVK459043 TLN459043:TLO459043 TBR459043:TBS459043 SRV459043:SRW459043 SHZ459043:SIA459043 RYD459043:RYE459043 ROH459043:ROI459043 REL459043:REM459043 QUP459043:QUQ459043 QKT459043:QKU459043 QAX459043:QAY459043 PRB459043:PRC459043 PHF459043:PHG459043 OXJ459043:OXK459043 ONN459043:ONO459043 ODR459043:ODS459043 NTV459043:NTW459043 NJZ459043:NKA459043 NAD459043:NAE459043 MQH459043:MQI459043 MGL459043:MGM459043 LWP459043:LWQ459043 LMT459043:LMU459043 LCX459043:LCY459043 KTB459043:KTC459043 KJF459043:KJG459043 JZJ459043:JZK459043 JPN459043:JPO459043 JFR459043:JFS459043 IVV459043:IVW459043 ILZ459043:IMA459043 ICD459043:ICE459043 HSH459043:HSI459043 HIL459043:HIM459043 GYP459043:GYQ459043 GOT459043:GOU459043 GEX459043:GEY459043 FVB459043:FVC459043 FLF459043:FLG459043 FBJ459043:FBK459043 ERN459043:ERO459043 EHR459043:EHS459043 DXV459043:DXW459043 DNZ459043:DOA459043 DED459043:DEE459043 CUH459043:CUI459043 CKL459043:CKM459043 CAP459043:CAQ459043 BQT459043:BQU459043 BGX459043:BGY459043 AXB459043:AXC459043 ANF459043:ANG459043 ADJ459043:ADK459043 TN459043:TO459043 JR459043:JS459043 V459055:W459055 WWD393507:WWE393507 WMH393507:WMI393507 WCL393507:WCM393507 VSP393507:VSQ393507 VIT393507:VIU393507 UYX393507:UYY393507 UPB393507:UPC393507 UFF393507:UFG393507 TVJ393507:TVK393507 TLN393507:TLO393507 TBR393507:TBS393507 SRV393507:SRW393507 SHZ393507:SIA393507 RYD393507:RYE393507 ROH393507:ROI393507 REL393507:REM393507 QUP393507:QUQ393507 QKT393507:QKU393507 QAX393507:QAY393507 PRB393507:PRC393507 PHF393507:PHG393507 OXJ393507:OXK393507 ONN393507:ONO393507 ODR393507:ODS393507 NTV393507:NTW393507 NJZ393507:NKA393507 NAD393507:NAE393507 MQH393507:MQI393507 MGL393507:MGM393507 LWP393507:LWQ393507 LMT393507:LMU393507 LCX393507:LCY393507 KTB393507:KTC393507 KJF393507:KJG393507 JZJ393507:JZK393507 JPN393507:JPO393507 JFR393507:JFS393507 IVV393507:IVW393507 ILZ393507:IMA393507 ICD393507:ICE393507 HSH393507:HSI393507 HIL393507:HIM393507 GYP393507:GYQ393507 GOT393507:GOU393507 GEX393507:GEY393507 FVB393507:FVC393507 FLF393507:FLG393507 FBJ393507:FBK393507 ERN393507:ERO393507 EHR393507:EHS393507 DXV393507:DXW393507 DNZ393507:DOA393507 DED393507:DEE393507 CUH393507:CUI393507 CKL393507:CKM393507 CAP393507:CAQ393507 BQT393507:BQU393507 BGX393507:BGY393507 AXB393507:AXC393507 ANF393507:ANG393507 ADJ393507:ADK393507 TN393507:TO393507 JR393507:JS393507 V393519:W393519 WWD327971:WWE327971 WMH327971:WMI327971 WCL327971:WCM327971 VSP327971:VSQ327971 VIT327971:VIU327971 UYX327971:UYY327971 UPB327971:UPC327971 UFF327971:UFG327971 TVJ327971:TVK327971 TLN327971:TLO327971 TBR327971:TBS327971 SRV327971:SRW327971 SHZ327971:SIA327971 RYD327971:RYE327971 ROH327971:ROI327971 REL327971:REM327971 QUP327971:QUQ327971 QKT327971:QKU327971 QAX327971:QAY327971 PRB327971:PRC327971 PHF327971:PHG327971 OXJ327971:OXK327971 ONN327971:ONO327971 ODR327971:ODS327971 NTV327971:NTW327971 NJZ327971:NKA327971 NAD327971:NAE327971 MQH327971:MQI327971 MGL327971:MGM327971 LWP327971:LWQ327971 LMT327971:LMU327971 LCX327971:LCY327971 KTB327971:KTC327971 KJF327971:KJG327971 JZJ327971:JZK327971 JPN327971:JPO327971 JFR327971:JFS327971 IVV327971:IVW327971 ILZ327971:IMA327971 ICD327971:ICE327971 HSH327971:HSI327971 HIL327971:HIM327971 GYP327971:GYQ327971 GOT327971:GOU327971 GEX327971:GEY327971 FVB327971:FVC327971 FLF327971:FLG327971 FBJ327971:FBK327971 ERN327971:ERO327971 EHR327971:EHS327971 DXV327971:DXW327971 DNZ327971:DOA327971 DED327971:DEE327971 CUH327971:CUI327971 CKL327971:CKM327971 CAP327971:CAQ327971 BQT327971:BQU327971 BGX327971:BGY327971 AXB327971:AXC327971 ANF327971:ANG327971 ADJ327971:ADK327971 TN327971:TO327971 JR327971:JS327971 V327983:W327983 WWD262435:WWE262435 WMH262435:WMI262435 WCL262435:WCM262435 VSP262435:VSQ262435 VIT262435:VIU262435 UYX262435:UYY262435 UPB262435:UPC262435 UFF262435:UFG262435 TVJ262435:TVK262435 TLN262435:TLO262435 TBR262435:TBS262435 SRV262435:SRW262435 SHZ262435:SIA262435 RYD262435:RYE262435 ROH262435:ROI262435 REL262435:REM262435 QUP262435:QUQ262435 QKT262435:QKU262435 QAX262435:QAY262435 PRB262435:PRC262435 PHF262435:PHG262435 OXJ262435:OXK262435 ONN262435:ONO262435 ODR262435:ODS262435 NTV262435:NTW262435 NJZ262435:NKA262435 NAD262435:NAE262435 MQH262435:MQI262435 MGL262435:MGM262435 LWP262435:LWQ262435 LMT262435:LMU262435 LCX262435:LCY262435 KTB262435:KTC262435 KJF262435:KJG262435 JZJ262435:JZK262435 JPN262435:JPO262435 JFR262435:JFS262435 IVV262435:IVW262435 ILZ262435:IMA262435 ICD262435:ICE262435 HSH262435:HSI262435 HIL262435:HIM262435 GYP262435:GYQ262435 GOT262435:GOU262435 GEX262435:GEY262435 FVB262435:FVC262435 FLF262435:FLG262435 FBJ262435:FBK262435 ERN262435:ERO262435 EHR262435:EHS262435 DXV262435:DXW262435 DNZ262435:DOA262435 DED262435:DEE262435 CUH262435:CUI262435 CKL262435:CKM262435 CAP262435:CAQ262435 BQT262435:BQU262435 BGX262435:BGY262435 AXB262435:AXC262435 ANF262435:ANG262435 ADJ262435:ADK262435 TN262435:TO262435 JR262435:JS262435 V262447:W262447 WWD196899:WWE196899 WMH196899:WMI196899 WCL196899:WCM196899 VSP196899:VSQ196899 VIT196899:VIU196899 UYX196899:UYY196899 UPB196899:UPC196899 UFF196899:UFG196899 TVJ196899:TVK196899 TLN196899:TLO196899 TBR196899:TBS196899 SRV196899:SRW196899 SHZ196899:SIA196899 RYD196899:RYE196899 ROH196899:ROI196899 REL196899:REM196899 QUP196899:QUQ196899 QKT196899:QKU196899 QAX196899:QAY196899 PRB196899:PRC196899 PHF196899:PHG196899 OXJ196899:OXK196899 ONN196899:ONO196899 ODR196899:ODS196899 NTV196899:NTW196899 NJZ196899:NKA196899 NAD196899:NAE196899 MQH196899:MQI196899 MGL196899:MGM196899 LWP196899:LWQ196899 LMT196899:LMU196899 LCX196899:LCY196899 KTB196899:KTC196899 KJF196899:KJG196899 JZJ196899:JZK196899 JPN196899:JPO196899 JFR196899:JFS196899 IVV196899:IVW196899 ILZ196899:IMA196899 ICD196899:ICE196899 HSH196899:HSI196899 HIL196899:HIM196899 GYP196899:GYQ196899 GOT196899:GOU196899 GEX196899:GEY196899 FVB196899:FVC196899 FLF196899:FLG196899 FBJ196899:FBK196899 ERN196899:ERO196899 EHR196899:EHS196899 DXV196899:DXW196899 DNZ196899:DOA196899 DED196899:DEE196899 CUH196899:CUI196899 CKL196899:CKM196899 CAP196899:CAQ196899 BQT196899:BQU196899 BGX196899:BGY196899 AXB196899:AXC196899 ANF196899:ANG196899 ADJ196899:ADK196899 TN196899:TO196899 JR196899:JS196899 V196911:W196911 WWD131363:WWE131363 WMH131363:WMI131363 WCL131363:WCM131363 VSP131363:VSQ131363 VIT131363:VIU131363 UYX131363:UYY131363 UPB131363:UPC131363 UFF131363:UFG131363 TVJ131363:TVK131363 TLN131363:TLO131363 TBR131363:TBS131363 SRV131363:SRW131363 SHZ131363:SIA131363 RYD131363:RYE131363 ROH131363:ROI131363 REL131363:REM131363 QUP131363:QUQ131363 QKT131363:QKU131363 QAX131363:QAY131363 PRB131363:PRC131363 PHF131363:PHG131363 OXJ131363:OXK131363 ONN131363:ONO131363 ODR131363:ODS131363 NTV131363:NTW131363 NJZ131363:NKA131363 NAD131363:NAE131363 MQH131363:MQI131363 MGL131363:MGM131363 LWP131363:LWQ131363 LMT131363:LMU131363 LCX131363:LCY131363 KTB131363:KTC131363 KJF131363:KJG131363 JZJ131363:JZK131363 JPN131363:JPO131363 JFR131363:JFS131363 IVV131363:IVW131363 ILZ131363:IMA131363 ICD131363:ICE131363 HSH131363:HSI131363 HIL131363:HIM131363 GYP131363:GYQ131363 GOT131363:GOU131363 GEX131363:GEY131363 FVB131363:FVC131363 FLF131363:FLG131363 FBJ131363:FBK131363 ERN131363:ERO131363 EHR131363:EHS131363 DXV131363:DXW131363 DNZ131363:DOA131363 DED131363:DEE131363 CUH131363:CUI131363 CKL131363:CKM131363 CAP131363:CAQ131363 BQT131363:BQU131363 BGX131363:BGY131363 AXB131363:AXC131363 ANF131363:ANG131363 ADJ131363:ADK131363 TN131363:TO131363 JR131363:JS131363 V131375:W131375 WWD65827:WWE65827 WMH65827:WMI65827 WCL65827:WCM65827 VSP65827:VSQ65827 VIT65827:VIU65827 UYX65827:UYY65827 UPB65827:UPC65827 UFF65827:UFG65827 TVJ65827:TVK65827 TLN65827:TLO65827 TBR65827:TBS65827 SRV65827:SRW65827 SHZ65827:SIA65827 RYD65827:RYE65827 ROH65827:ROI65827 REL65827:REM65827 QUP65827:QUQ65827 QKT65827:QKU65827 QAX65827:QAY65827 PRB65827:PRC65827 PHF65827:PHG65827 OXJ65827:OXK65827 ONN65827:ONO65827 ODR65827:ODS65827 NTV65827:NTW65827 NJZ65827:NKA65827 NAD65827:NAE65827 MQH65827:MQI65827 MGL65827:MGM65827 LWP65827:LWQ65827 LMT65827:LMU65827 LCX65827:LCY65827 KTB65827:KTC65827 KJF65827:KJG65827 JZJ65827:JZK65827 JPN65827:JPO65827 JFR65827:JFS65827 IVV65827:IVW65827 ILZ65827:IMA65827 ICD65827:ICE65827 HSH65827:HSI65827 HIL65827:HIM65827 GYP65827:GYQ65827 GOT65827:GOU65827 GEX65827:GEY65827 FVB65827:FVC65827 FLF65827:FLG65827 FBJ65827:FBK65827 ERN65827:ERO65827 EHR65827:EHS65827 DXV65827:DXW65827 DNZ65827:DOA65827 DED65827:DEE65827 CUH65827:CUI65827 CKL65827:CKM65827 CAP65827:CAQ65827 BQT65827:BQU65827 BGX65827:BGY65827 AXB65827:AXC65827 ANF65827:ANG65827 ADJ65827:ADK65827 TN65827:TO65827 JR65827:JS65827 V65839:W65839 WWD38:WWE38 WMH38:WMI38 WCL38:WCM38 VSP38:VSQ38 VIT38:VIU38 UYX38:UYY38 UPB38:UPC38 UFF38:UFG38 TVJ38:TVK38 TLN38:TLO38 TBR38:TBS38 SRV38:SRW38 SHZ38:SIA38 RYD38:RYE38 ROH38:ROI38 REL38:REM38 QUP38:QUQ38 QKT38:QKU38 QAX38:QAY38 PRB38:PRC38 PHF38:PHG38 OXJ38:OXK38 ONN38:ONO38 ODR38:ODS38 NTV38:NTW38 NJZ38:NKA38 NAD38:NAE38 MQH38:MQI38 MGL38:MGM38 LWP38:LWQ38 LMT38:LMU38 LCX38:LCY38 KTB38:KTC38 KJF38:KJG38 JZJ38:JZK38 JPN38:JPO38 JFR38:JFS38 IVV38:IVW38 ILZ38:IMA38 ICD38:ICE38 HSH38:HSI38 HIL38:HIM38 GYP38:GYQ38 GOT38:GOU38 GEX38:GEY38 FVB38:FVC38 FLF38:FLG38 FBJ38:FBK38 ERN38:ERO38 EHR38:EHS38 DXV38:DXW38 DNZ38:DOA38 DED38:DEE38 CUH38:CUI38 CKL38:CKM38 CAP38:CAQ38 BQT38:BQU38 BGX38:BGY38 AXB38:AXC38 ANF38:ANG38 ADJ38:ADK38 TN38:TO38 JR38:JS38 WMH983418:WMI983418 WWD113:WWE114 WMH113:WMI114 WCL113:WCM114 VSP113:VSQ114 VIT113:VIU114 UYX113:UYY114 UPB113:UPC114 UFF113:UFG114 TVJ113:TVK114 TLN113:TLO114 TBR113:TBS114 SRV113:SRW114 SHZ113:SIA114 RYD113:RYE114 ROH113:ROI114 REL113:REM114 QUP113:QUQ114 QKT113:QKU114 QAX113:QAY114 PRB113:PRC114 PHF113:PHG114 OXJ113:OXK114 ONN113:ONO114 ODR113:ODS114 NTV113:NTW114 NJZ113:NKA114 NAD113:NAE114 MQH113:MQI114 MGL113:MGM114 LWP113:LWQ114 LMT113:LMU114 LCX113:LCY114 KTB113:KTC114 KJF113:KJG114 JZJ113:JZK114 JPN113:JPO114 JFR113:JFS114 IVV113:IVW114 ILZ113:IMA114 ICD113:ICE114 HSH113:HSI114 HIL113:HIM114 GYP113:GYQ114 GOT113:GOU114 GEX113:GEY114 FVB113:FVC114 FLF113:FLG114 FBJ113:FBK114 ERN113:ERO114 EHR113:EHS114 DXV113:DXW114 DNZ113:DOA114 DED113:DEE114 CUH113:CUI114 CKL113:CKM114 CAP113:CAQ114 BQT113:BQU114 BGX113:BGY114 AXB113:AXC114 ANF113:ANG114 ADJ113:ADK114 TN113:TO114 JR113:JS114" xr:uid="{A05CC646-C114-48B3-ACA4-AC818BC3BAB0}">
      <formula1>$AI$37:$AI$38</formula1>
    </dataValidation>
  </dataValidations>
  <hyperlinks>
    <hyperlink ref="C386" r:id="rId1" xr:uid="{EE46D630-2071-4C8F-9298-CA99FBE52BE1}"/>
    <hyperlink ref="C387" r:id="rId2" display="https://ags.aer.ca/interactive-data-and-tools/coordinate-conversion-tools/ats-geographic-degrees" xr:uid="{6D839D05-DE5E-4FD5-8553-A1988BF61DC5}"/>
    <hyperlink ref="C388" r:id="rId3" display="https://geology-ags-aer.opendata.arcgis.com/datasets/ags-aer::alberta-earthquakes/about" xr:uid="{71659A91-5475-49E4-8D66-C8EB74FB62DD}"/>
    <hyperlink ref="C391" r:id="rId4" display="https://www.seismescanada.rncan.gc.ca/hazard-alea/interpolat/nbc2020-cnb2020-en.php?code=nbc2020&amp;latitude=60.722&amp;longitude=-135.054&amp;siteDesignation=XS&amp;siteDesignationXS=C" xr:uid="{4629567F-AA8B-454D-9F3A-85BA09E99D4F}"/>
  </hyperlinks>
  <pageMargins left="0.7" right="0.7" top="0.75" bottom="0.75" header="0.3" footer="0.3"/>
  <pageSetup scale="28" orientation="portrait" r:id="rId5"/>
  <rowBreaks count="4" manualBreakCount="4">
    <brk id="110" max="26" man="1"/>
    <brk id="172" max="26" man="1"/>
    <brk id="304" max="26" man="1"/>
    <brk id="363" max="26" man="1"/>
  </rowBreaks>
  <drawing r:id="rId6"/>
  <legacyDrawing r:id="rId7"/>
  <tableParts count="2">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ED539-0D45-45D8-8E87-A2802434346F}">
  <sheetPr codeName="Sheet15"/>
  <dimension ref="A1:I153"/>
  <sheetViews>
    <sheetView topLeftCell="A81" workbookViewId="0">
      <selection activeCell="E10" sqref="D10:E10"/>
    </sheetView>
  </sheetViews>
  <sheetFormatPr defaultRowHeight="14.5" x14ac:dyDescent="0.35"/>
  <cols>
    <col min="1" max="1" width="9.54296875" style="1" customWidth="1"/>
    <col min="2" max="2" width="11.08984375" style="1" customWidth="1"/>
    <col min="3" max="3" width="10.54296875" style="1" customWidth="1"/>
    <col min="4" max="4" width="11.54296875" style="1" customWidth="1"/>
    <col min="5" max="5" width="10.453125" style="1" customWidth="1"/>
    <col min="6" max="6" width="10.7265625" style="1" customWidth="1"/>
    <col min="7" max="7" width="11.81640625" style="1" customWidth="1"/>
    <col min="8" max="8" width="11" style="1" customWidth="1"/>
  </cols>
  <sheetData>
    <row r="1" spans="1:9" ht="21" customHeight="1" x14ac:dyDescent="0.35">
      <c r="A1" s="1022" t="s">
        <v>3341</v>
      </c>
      <c r="B1" s="1022" t="s">
        <v>3340</v>
      </c>
    </row>
    <row r="2" spans="1:9" x14ac:dyDescent="0.35">
      <c r="A2" s="1023">
        <v>0.15</v>
      </c>
      <c r="B2" s="1023">
        <v>15.2</v>
      </c>
      <c r="F2" s="1026"/>
      <c r="G2" s="1026"/>
      <c r="H2" s="1026"/>
      <c r="I2" s="1026"/>
    </row>
    <row r="3" spans="1:9" x14ac:dyDescent="0.35">
      <c r="A3" s="1023">
        <v>0.16</v>
      </c>
      <c r="B3" s="1023">
        <v>15.7</v>
      </c>
      <c r="F3" s="1027"/>
      <c r="G3" s="1027"/>
    </row>
    <row r="4" spans="1:9" x14ac:dyDescent="0.35">
      <c r="A4" s="1023">
        <v>0.17</v>
      </c>
      <c r="B4" s="1023">
        <v>16.2</v>
      </c>
      <c r="F4" s="1027"/>
      <c r="G4" s="1027"/>
    </row>
    <row r="5" spans="1:9" x14ac:dyDescent="0.35">
      <c r="A5" s="1023">
        <v>0.18</v>
      </c>
      <c r="B5" s="1023">
        <v>16.7</v>
      </c>
      <c r="F5" s="1027"/>
      <c r="G5" s="1027"/>
    </row>
    <row r="6" spans="1:9" x14ac:dyDescent="0.35">
      <c r="A6" s="1023">
        <v>0.19</v>
      </c>
      <c r="B6" s="1023">
        <v>17.2</v>
      </c>
      <c r="F6" s="1027"/>
      <c r="G6" s="1027"/>
    </row>
    <row r="7" spans="1:9" x14ac:dyDescent="0.35">
      <c r="A7" s="1023">
        <v>0.2</v>
      </c>
      <c r="B7" s="1023">
        <v>17.8</v>
      </c>
      <c r="F7" s="1027"/>
      <c r="G7" s="1027"/>
    </row>
    <row r="8" spans="1:9" x14ac:dyDescent="0.35">
      <c r="A8" s="1023">
        <v>0.21</v>
      </c>
      <c r="B8" s="1023">
        <v>18.3</v>
      </c>
      <c r="F8" s="1027"/>
      <c r="G8" s="1027"/>
    </row>
    <row r="9" spans="1:9" x14ac:dyDescent="0.35">
      <c r="A9" s="1023">
        <v>0.22</v>
      </c>
      <c r="B9" s="1023">
        <v>18.8</v>
      </c>
      <c r="F9" s="1027"/>
      <c r="G9" s="1027"/>
    </row>
    <row r="10" spans="1:9" x14ac:dyDescent="0.35">
      <c r="A10" s="1023">
        <v>0.23</v>
      </c>
      <c r="B10" s="1023">
        <v>19.3</v>
      </c>
      <c r="F10" s="1027"/>
      <c r="G10" s="1027"/>
    </row>
    <row r="11" spans="1:9" x14ac:dyDescent="0.35">
      <c r="A11" s="1023">
        <v>0.24</v>
      </c>
      <c r="B11" s="1023">
        <v>19.7</v>
      </c>
      <c r="F11" s="1027"/>
      <c r="G11" s="1027"/>
    </row>
    <row r="12" spans="1:9" x14ac:dyDescent="0.35">
      <c r="A12" s="1023">
        <v>0.25</v>
      </c>
      <c r="B12" s="1023">
        <v>20.2</v>
      </c>
      <c r="F12" s="1027"/>
      <c r="G12" s="1027"/>
    </row>
    <row r="13" spans="1:9" x14ac:dyDescent="0.35">
      <c r="A13" s="1023">
        <v>0.26</v>
      </c>
      <c r="B13" s="1023">
        <v>20.7</v>
      </c>
      <c r="F13" s="1027"/>
      <c r="G13" s="1027"/>
    </row>
    <row r="14" spans="1:9" x14ac:dyDescent="0.35">
      <c r="A14" s="1023">
        <v>0.27</v>
      </c>
      <c r="B14" s="1023">
        <v>21.2</v>
      </c>
      <c r="F14" s="1027"/>
      <c r="G14" s="1027"/>
    </row>
    <row r="15" spans="1:9" x14ac:dyDescent="0.35">
      <c r="A15" s="1023">
        <v>0.28000000000000003</v>
      </c>
      <c r="B15" s="1023">
        <v>21.6</v>
      </c>
      <c r="F15" s="1027"/>
      <c r="G15" s="1027"/>
    </row>
    <row r="16" spans="1:9" x14ac:dyDescent="0.35">
      <c r="A16" s="1023">
        <v>0.28999999999999998</v>
      </c>
      <c r="B16" s="1023">
        <v>22.1</v>
      </c>
      <c r="F16" s="1027"/>
      <c r="G16" s="1027"/>
    </row>
    <row r="17" spans="1:7" x14ac:dyDescent="0.35">
      <c r="A17" s="1023">
        <v>0.3</v>
      </c>
      <c r="B17" s="1023">
        <v>22.6</v>
      </c>
      <c r="F17" s="1027"/>
      <c r="G17" s="1027"/>
    </row>
    <row r="18" spans="1:7" x14ac:dyDescent="0.35">
      <c r="A18" s="1023">
        <v>0.31</v>
      </c>
      <c r="B18" s="1023">
        <v>23.1</v>
      </c>
      <c r="F18" s="1027"/>
      <c r="G18" s="1027"/>
    </row>
    <row r="19" spans="1:7" x14ac:dyDescent="0.35">
      <c r="A19" s="1023">
        <v>0.32</v>
      </c>
      <c r="B19" s="1023">
        <v>23.5</v>
      </c>
      <c r="F19" s="1027"/>
      <c r="G19" s="1027"/>
    </row>
    <row r="20" spans="1:7" x14ac:dyDescent="0.35">
      <c r="A20" s="1023">
        <v>0.33</v>
      </c>
      <c r="B20" s="1023">
        <v>24</v>
      </c>
      <c r="F20" s="1027"/>
      <c r="G20" s="1027"/>
    </row>
    <row r="21" spans="1:7" x14ac:dyDescent="0.35">
      <c r="A21" s="1023">
        <v>0.34</v>
      </c>
      <c r="B21" s="1023">
        <v>24.5</v>
      </c>
      <c r="F21" s="1027"/>
      <c r="G21" s="1027"/>
    </row>
    <row r="22" spans="1:7" x14ac:dyDescent="0.35">
      <c r="A22" s="1023">
        <v>0.35</v>
      </c>
      <c r="B22" s="1023">
        <v>25</v>
      </c>
      <c r="F22" s="1027"/>
      <c r="G22" s="1027"/>
    </row>
    <row r="23" spans="1:7" x14ac:dyDescent="0.35">
      <c r="A23" s="1023">
        <v>0.36</v>
      </c>
      <c r="B23" s="1023">
        <v>25.4</v>
      </c>
      <c r="F23" s="1027"/>
      <c r="G23" s="1027"/>
    </row>
    <row r="24" spans="1:7" x14ac:dyDescent="0.35">
      <c r="A24" s="1023">
        <v>0.37</v>
      </c>
      <c r="B24" s="1023">
        <v>25.9</v>
      </c>
      <c r="F24" s="1027"/>
      <c r="G24" s="1027"/>
    </row>
    <row r="25" spans="1:7" x14ac:dyDescent="0.35">
      <c r="A25" s="1023">
        <v>0.38</v>
      </c>
      <c r="B25" s="1023">
        <v>26.4</v>
      </c>
      <c r="F25" s="1027"/>
      <c r="G25" s="1027"/>
    </row>
    <row r="26" spans="1:7" x14ac:dyDescent="0.35">
      <c r="A26" s="1023">
        <v>0.39</v>
      </c>
      <c r="B26" s="1023">
        <v>26.9</v>
      </c>
      <c r="F26" s="1027"/>
      <c r="G26" s="1027"/>
    </row>
    <row r="27" spans="1:7" x14ac:dyDescent="0.35">
      <c r="A27" s="1023">
        <v>0.4</v>
      </c>
      <c r="B27" s="1023">
        <v>27.3</v>
      </c>
      <c r="F27" s="1027"/>
      <c r="G27" s="1027"/>
    </row>
    <row r="28" spans="1:7" x14ac:dyDescent="0.35">
      <c r="A28" s="1023">
        <v>0.41</v>
      </c>
      <c r="B28" s="1023">
        <v>27.8</v>
      </c>
      <c r="F28" s="1027"/>
      <c r="G28" s="1027"/>
    </row>
    <row r="29" spans="1:7" x14ac:dyDescent="0.35">
      <c r="A29" s="1023">
        <v>0.42</v>
      </c>
      <c r="B29" s="1023">
        <v>28.3</v>
      </c>
      <c r="F29" s="1027"/>
      <c r="G29" s="1027"/>
    </row>
    <row r="30" spans="1:7" x14ac:dyDescent="0.35">
      <c r="A30" s="1023">
        <v>0.43</v>
      </c>
      <c r="B30" s="1023">
        <v>28.8</v>
      </c>
      <c r="F30" s="1027"/>
      <c r="G30" s="1027"/>
    </row>
    <row r="31" spans="1:7" x14ac:dyDescent="0.35">
      <c r="A31" s="1023">
        <v>0.44</v>
      </c>
      <c r="B31" s="1023">
        <v>29.2</v>
      </c>
      <c r="F31" s="1027"/>
      <c r="G31" s="1027"/>
    </row>
    <row r="32" spans="1:7" x14ac:dyDescent="0.35">
      <c r="A32" s="1023">
        <v>0.45</v>
      </c>
      <c r="B32" s="1023">
        <v>29.7</v>
      </c>
      <c r="F32" s="1027"/>
      <c r="G32" s="1027"/>
    </row>
    <row r="33" spans="1:7" x14ac:dyDescent="0.35">
      <c r="A33" s="1023">
        <v>0.46</v>
      </c>
      <c r="B33" s="1023">
        <v>30.2</v>
      </c>
      <c r="F33" s="1027"/>
      <c r="G33" s="1027"/>
    </row>
    <row r="34" spans="1:7" x14ac:dyDescent="0.35">
      <c r="A34" s="1023">
        <v>0.47</v>
      </c>
      <c r="B34" s="1023">
        <v>30.7</v>
      </c>
      <c r="F34" s="1027"/>
      <c r="G34" s="1027"/>
    </row>
    <row r="35" spans="1:7" x14ac:dyDescent="0.35">
      <c r="A35" s="1023">
        <v>0.48</v>
      </c>
      <c r="B35" s="1023">
        <v>31.1</v>
      </c>
      <c r="F35" s="1027"/>
      <c r="G35" s="1027"/>
    </row>
    <row r="36" spans="1:7" x14ac:dyDescent="0.35">
      <c r="A36" s="1023">
        <v>0.49</v>
      </c>
      <c r="B36" s="1023">
        <v>31.6</v>
      </c>
      <c r="F36" s="1027"/>
      <c r="G36" s="1027"/>
    </row>
    <row r="37" spans="1:7" x14ac:dyDescent="0.35">
      <c r="A37" s="1023">
        <v>0.5</v>
      </c>
      <c r="B37" s="1023">
        <v>32.1</v>
      </c>
      <c r="F37" s="1027"/>
      <c r="G37" s="1027"/>
    </row>
    <row r="38" spans="1:7" x14ac:dyDescent="0.35">
      <c r="A38" s="1023">
        <v>0.51</v>
      </c>
      <c r="B38" s="1023">
        <v>32.6</v>
      </c>
      <c r="F38" s="1027"/>
      <c r="G38" s="1027"/>
    </row>
    <row r="39" spans="1:7" ht="15" thickBot="1" x14ac:dyDescent="0.4">
      <c r="A39" s="1024">
        <v>0.52</v>
      </c>
      <c r="B39" s="1024">
        <v>33</v>
      </c>
      <c r="F39" s="1027"/>
      <c r="G39" s="1027"/>
    </row>
    <row r="40" spans="1:7" x14ac:dyDescent="0.35">
      <c r="A40" s="1023">
        <v>0.53</v>
      </c>
      <c r="B40" s="1023">
        <v>28.6</v>
      </c>
      <c r="F40" s="1027"/>
      <c r="G40" s="1027"/>
    </row>
    <row r="41" spans="1:7" x14ac:dyDescent="0.35">
      <c r="A41" s="1023">
        <v>0.54</v>
      </c>
      <c r="B41" s="1023">
        <v>28.8</v>
      </c>
    </row>
    <row r="42" spans="1:7" x14ac:dyDescent="0.35">
      <c r="A42" s="1023">
        <v>0.55000000000000004</v>
      </c>
      <c r="B42" s="1023">
        <v>29</v>
      </c>
    </row>
    <row r="43" spans="1:7" x14ac:dyDescent="0.35">
      <c r="A43" s="1023">
        <v>0.56000000000000005</v>
      </c>
      <c r="B43" s="1023">
        <v>29.2</v>
      </c>
    </row>
    <row r="44" spans="1:7" x14ac:dyDescent="0.35">
      <c r="A44" s="1023">
        <v>0.56999999999999995</v>
      </c>
      <c r="B44" s="1023">
        <v>29.4</v>
      </c>
    </row>
    <row r="45" spans="1:7" x14ac:dyDescent="0.35">
      <c r="A45" s="1023">
        <v>0.57999999999999996</v>
      </c>
      <c r="B45" s="1023">
        <v>29.6</v>
      </c>
    </row>
    <row r="46" spans="1:7" x14ac:dyDescent="0.35">
      <c r="A46" s="1023">
        <v>0.59</v>
      </c>
      <c r="B46" s="1023">
        <v>29.8</v>
      </c>
    </row>
    <row r="47" spans="1:7" x14ac:dyDescent="0.35">
      <c r="A47" s="1023">
        <v>0.6</v>
      </c>
      <c r="B47" s="1023">
        <v>30</v>
      </c>
    </row>
    <row r="48" spans="1:7" x14ac:dyDescent="0.35">
      <c r="A48" s="1023">
        <v>0.61</v>
      </c>
      <c r="B48" s="1023">
        <v>30.7</v>
      </c>
    </row>
    <row r="49" spans="1:2" x14ac:dyDescent="0.35">
      <c r="A49" s="1023">
        <v>0.62</v>
      </c>
      <c r="B49" s="1023">
        <v>30.9</v>
      </c>
    </row>
    <row r="50" spans="1:2" x14ac:dyDescent="0.35">
      <c r="A50" s="1023">
        <v>0.63</v>
      </c>
      <c r="B50" s="1023">
        <v>31.1</v>
      </c>
    </row>
    <row r="51" spans="1:2" x14ac:dyDescent="0.35">
      <c r="A51" s="1023">
        <v>0.64</v>
      </c>
      <c r="B51" s="1023">
        <v>31.2</v>
      </c>
    </row>
    <row r="52" spans="1:2" x14ac:dyDescent="0.35">
      <c r="A52" s="1023">
        <v>0.65</v>
      </c>
      <c r="B52" s="1023">
        <v>31.4</v>
      </c>
    </row>
    <row r="53" spans="1:2" x14ac:dyDescent="0.35">
      <c r="A53" s="1023">
        <v>0.66</v>
      </c>
      <c r="B53" s="1023">
        <v>31.6</v>
      </c>
    </row>
    <row r="54" spans="1:2" x14ac:dyDescent="0.35">
      <c r="A54" s="1023">
        <v>0.67</v>
      </c>
      <c r="B54" s="1023">
        <v>32.200000000000003</v>
      </c>
    </row>
    <row r="55" spans="1:2" x14ac:dyDescent="0.35">
      <c r="A55" s="1023">
        <v>0.68</v>
      </c>
      <c r="B55" s="1023">
        <v>32.4</v>
      </c>
    </row>
    <row r="56" spans="1:2" x14ac:dyDescent="0.35">
      <c r="A56" s="1023">
        <v>0.69</v>
      </c>
      <c r="B56" s="1023">
        <v>32.6</v>
      </c>
    </row>
    <row r="57" spans="1:2" x14ac:dyDescent="0.35">
      <c r="A57" s="1023">
        <v>0.7</v>
      </c>
      <c r="B57" s="1023">
        <v>32.799999999999997</v>
      </c>
    </row>
    <row r="58" spans="1:2" x14ac:dyDescent="0.35">
      <c r="A58" s="1023">
        <v>0.71</v>
      </c>
      <c r="B58" s="1023">
        <v>33</v>
      </c>
    </row>
    <row r="59" spans="1:2" x14ac:dyDescent="0.35">
      <c r="A59" s="1023">
        <v>0.72</v>
      </c>
      <c r="B59" s="1023">
        <v>33.200000000000003</v>
      </c>
    </row>
    <row r="60" spans="1:2" x14ac:dyDescent="0.35">
      <c r="A60" s="1023">
        <v>0.73</v>
      </c>
      <c r="B60" s="1023">
        <v>33.4</v>
      </c>
    </row>
    <row r="61" spans="1:2" x14ac:dyDescent="0.35">
      <c r="A61" s="1023">
        <v>0.74</v>
      </c>
      <c r="B61" s="1023">
        <v>33.6</v>
      </c>
    </row>
    <row r="62" spans="1:2" x14ac:dyDescent="0.35">
      <c r="A62" s="1023">
        <v>0.75</v>
      </c>
      <c r="B62" s="1023">
        <v>33.799999999999997</v>
      </c>
    </row>
    <row r="63" spans="1:2" x14ac:dyDescent="0.35">
      <c r="A63" s="1023">
        <v>0.76</v>
      </c>
      <c r="B63" s="1023">
        <v>34</v>
      </c>
    </row>
    <row r="64" spans="1:2" x14ac:dyDescent="0.35">
      <c r="A64" s="1023">
        <v>0.77</v>
      </c>
      <c r="B64" s="1023">
        <v>34.200000000000003</v>
      </c>
    </row>
    <row r="65" spans="1:2" x14ac:dyDescent="0.35">
      <c r="A65" s="1023">
        <v>0.78</v>
      </c>
      <c r="B65" s="1023">
        <v>34.5</v>
      </c>
    </row>
    <row r="66" spans="1:2" x14ac:dyDescent="0.35">
      <c r="A66" s="1023">
        <v>0.79</v>
      </c>
      <c r="B66" s="1023">
        <v>34.700000000000003</v>
      </c>
    </row>
    <row r="67" spans="1:2" x14ac:dyDescent="0.35">
      <c r="A67" s="1023">
        <v>0.8</v>
      </c>
      <c r="B67" s="1023">
        <v>34.9</v>
      </c>
    </row>
    <row r="68" spans="1:2" x14ac:dyDescent="0.35">
      <c r="A68" s="1023">
        <v>0.81</v>
      </c>
      <c r="B68" s="1023">
        <v>35.1</v>
      </c>
    </row>
    <row r="69" spans="1:2" x14ac:dyDescent="0.35">
      <c r="A69" s="1023">
        <v>0.82</v>
      </c>
      <c r="B69" s="1023">
        <v>35.299999999999997</v>
      </c>
    </row>
    <row r="70" spans="1:2" x14ac:dyDescent="0.35">
      <c r="A70" s="1023">
        <v>0.83</v>
      </c>
      <c r="B70" s="1023">
        <v>35.5</v>
      </c>
    </row>
    <row r="71" spans="1:2" x14ac:dyDescent="0.35">
      <c r="A71" s="1023">
        <v>0.84</v>
      </c>
      <c r="B71" s="1023">
        <v>35.700000000000003</v>
      </c>
    </row>
    <row r="72" spans="1:2" x14ac:dyDescent="0.35">
      <c r="A72" s="1023">
        <v>0.85</v>
      </c>
      <c r="B72" s="1023">
        <v>35.9</v>
      </c>
    </row>
    <row r="73" spans="1:2" x14ac:dyDescent="0.35">
      <c r="A73" s="1023">
        <v>0.86</v>
      </c>
      <c r="B73" s="1023">
        <v>36.1</v>
      </c>
    </row>
    <row r="74" spans="1:2" x14ac:dyDescent="0.35">
      <c r="A74" s="1023">
        <v>0.87</v>
      </c>
      <c r="B74" s="1023">
        <v>36.299999999999997</v>
      </c>
    </row>
    <row r="75" spans="1:2" x14ac:dyDescent="0.35">
      <c r="A75" s="1023">
        <v>0.88</v>
      </c>
      <c r="B75" s="1023">
        <v>36.5</v>
      </c>
    </row>
    <row r="76" spans="1:2" x14ac:dyDescent="0.35">
      <c r="A76" s="1023">
        <v>0.89</v>
      </c>
      <c r="B76" s="1023">
        <v>36.700000000000003</v>
      </c>
    </row>
    <row r="77" spans="1:2" ht="15" thickBot="1" x14ac:dyDescent="0.4">
      <c r="A77" s="1024">
        <v>0.9</v>
      </c>
      <c r="B77" s="1024">
        <v>36.9</v>
      </c>
    </row>
    <row r="78" spans="1:2" x14ac:dyDescent="0.35">
      <c r="A78" s="1023">
        <v>0.91</v>
      </c>
      <c r="B78" s="1023">
        <v>37.5</v>
      </c>
    </row>
    <row r="79" spans="1:2" x14ac:dyDescent="0.35">
      <c r="A79" s="1023">
        <v>0.92</v>
      </c>
      <c r="B79" s="1023">
        <v>37.700000000000003</v>
      </c>
    </row>
    <row r="80" spans="1:2" x14ac:dyDescent="0.35">
      <c r="A80" s="1023">
        <v>0.93</v>
      </c>
      <c r="B80" s="1023">
        <v>37.9</v>
      </c>
    </row>
    <row r="81" spans="1:2" x14ac:dyDescent="0.35">
      <c r="A81" s="1023">
        <v>0.94</v>
      </c>
      <c r="B81" s="1023">
        <v>38.1</v>
      </c>
    </row>
    <row r="82" spans="1:2" x14ac:dyDescent="0.35">
      <c r="A82" s="1023">
        <v>0.95</v>
      </c>
      <c r="B82" s="1023">
        <v>38.299999999999997</v>
      </c>
    </row>
    <row r="83" spans="1:2" x14ac:dyDescent="0.35">
      <c r="A83" s="1023">
        <v>0.96</v>
      </c>
      <c r="B83" s="1023">
        <v>38.5</v>
      </c>
    </row>
    <row r="84" spans="1:2" x14ac:dyDescent="0.35">
      <c r="A84" s="1023">
        <v>0.97</v>
      </c>
      <c r="B84" s="1023">
        <v>38.700000000000003</v>
      </c>
    </row>
    <row r="85" spans="1:2" x14ac:dyDescent="0.35">
      <c r="A85" s="1023">
        <v>0.98</v>
      </c>
      <c r="B85" s="1023">
        <v>38.799999999999997</v>
      </c>
    </row>
    <row r="86" spans="1:2" x14ac:dyDescent="0.35">
      <c r="A86" s="1023">
        <v>0.99</v>
      </c>
      <c r="B86" s="1023">
        <v>39</v>
      </c>
    </row>
    <row r="87" spans="1:2" x14ac:dyDescent="0.35">
      <c r="A87" s="1023">
        <v>1</v>
      </c>
      <c r="B87" s="1023">
        <v>39.200000000000003</v>
      </c>
    </row>
    <row r="88" spans="1:2" x14ac:dyDescent="0.35">
      <c r="A88" s="1023">
        <v>1.01</v>
      </c>
      <c r="B88" s="1023">
        <v>39.4</v>
      </c>
    </row>
    <row r="89" spans="1:2" x14ac:dyDescent="0.35">
      <c r="A89" s="1023">
        <v>1.02</v>
      </c>
      <c r="B89" s="1023">
        <v>39.6</v>
      </c>
    </row>
    <row r="90" spans="1:2" x14ac:dyDescent="0.35">
      <c r="A90" s="1023">
        <v>1.03</v>
      </c>
      <c r="B90" s="1023">
        <v>39.799999999999997</v>
      </c>
    </row>
    <row r="91" spans="1:2" x14ac:dyDescent="0.35">
      <c r="A91" s="1023">
        <v>1.04</v>
      </c>
      <c r="B91" s="1023">
        <v>40.1</v>
      </c>
    </row>
    <row r="92" spans="1:2" x14ac:dyDescent="0.35">
      <c r="A92" s="1023">
        <v>1.05</v>
      </c>
      <c r="B92" s="1023">
        <v>40.299999999999997</v>
      </c>
    </row>
    <row r="93" spans="1:2" x14ac:dyDescent="0.35">
      <c r="A93" s="1023">
        <v>1.06</v>
      </c>
      <c r="B93" s="1023">
        <v>40.5</v>
      </c>
    </row>
    <row r="94" spans="1:2" x14ac:dyDescent="0.35">
      <c r="A94" s="1023">
        <v>1.07</v>
      </c>
      <c r="B94" s="1023">
        <v>40.700000000000003</v>
      </c>
    </row>
    <row r="95" spans="1:2" x14ac:dyDescent="0.35">
      <c r="A95" s="1023">
        <v>1.08</v>
      </c>
      <c r="B95" s="1023">
        <v>40.9</v>
      </c>
    </row>
    <row r="96" spans="1:2" x14ac:dyDescent="0.35">
      <c r="A96" s="1023">
        <v>1.0900000000000001</v>
      </c>
      <c r="B96" s="1023">
        <v>41.1</v>
      </c>
    </row>
    <row r="97" spans="1:2" x14ac:dyDescent="0.35">
      <c r="A97" s="1023">
        <v>1.1000000000000001</v>
      </c>
      <c r="B97" s="1023">
        <v>41.3</v>
      </c>
    </row>
    <row r="98" spans="1:2" x14ac:dyDescent="0.35">
      <c r="A98" s="1023">
        <v>1.1100000000000001</v>
      </c>
      <c r="B98" s="1023">
        <v>41.5</v>
      </c>
    </row>
    <row r="99" spans="1:2" x14ac:dyDescent="0.35">
      <c r="A99" s="1023">
        <v>1.1200000000000001</v>
      </c>
      <c r="B99" s="1023">
        <v>41.6</v>
      </c>
    </row>
    <row r="100" spans="1:2" x14ac:dyDescent="0.35">
      <c r="A100" s="1023">
        <v>1.1299999999999999</v>
      </c>
      <c r="B100" s="1023">
        <v>41.8</v>
      </c>
    </row>
    <row r="101" spans="1:2" x14ac:dyDescent="0.35">
      <c r="A101" s="1023">
        <v>1.1399999999999999</v>
      </c>
      <c r="B101" s="1023">
        <v>42</v>
      </c>
    </row>
    <row r="102" spans="1:2" x14ac:dyDescent="0.35">
      <c r="A102" s="1023">
        <v>1.1499999999999999</v>
      </c>
      <c r="B102" s="1023">
        <v>42.2</v>
      </c>
    </row>
    <row r="103" spans="1:2" x14ac:dyDescent="0.35">
      <c r="A103" s="1023">
        <v>1.1599999999999999</v>
      </c>
      <c r="B103" s="1023">
        <v>42.4</v>
      </c>
    </row>
    <row r="104" spans="1:2" x14ac:dyDescent="0.35">
      <c r="A104" s="1023">
        <v>1.17</v>
      </c>
      <c r="B104" s="1023">
        <v>42.5</v>
      </c>
    </row>
    <row r="105" spans="1:2" x14ac:dyDescent="0.35">
      <c r="A105" s="1023">
        <v>1.18</v>
      </c>
      <c r="B105" s="1023">
        <v>42.7</v>
      </c>
    </row>
    <row r="106" spans="1:2" x14ac:dyDescent="0.35">
      <c r="A106" s="1023">
        <v>1.19</v>
      </c>
      <c r="B106" s="1023">
        <v>42.9</v>
      </c>
    </row>
    <row r="107" spans="1:2" x14ac:dyDescent="0.35">
      <c r="A107" s="1023">
        <v>1.2</v>
      </c>
      <c r="B107" s="1023">
        <v>43.1</v>
      </c>
    </row>
    <row r="108" spans="1:2" x14ac:dyDescent="0.35">
      <c r="A108" s="1023">
        <v>1.21</v>
      </c>
      <c r="B108" s="1023">
        <v>43.3</v>
      </c>
    </row>
    <row r="109" spans="1:2" x14ac:dyDescent="0.35">
      <c r="A109" s="1023">
        <v>1.22</v>
      </c>
      <c r="B109" s="1023">
        <v>43.5</v>
      </c>
    </row>
    <row r="110" spans="1:2" x14ac:dyDescent="0.35">
      <c r="A110" s="1023">
        <v>1.23</v>
      </c>
      <c r="B110" s="1023">
        <v>43.6</v>
      </c>
    </row>
    <row r="111" spans="1:2" x14ac:dyDescent="0.35">
      <c r="A111" s="1023">
        <v>1.24</v>
      </c>
      <c r="B111" s="1023">
        <v>43.8</v>
      </c>
    </row>
    <row r="112" spans="1:2" x14ac:dyDescent="0.35">
      <c r="A112" s="1023">
        <v>1.25</v>
      </c>
      <c r="B112" s="1023">
        <v>44</v>
      </c>
    </row>
    <row r="113" spans="1:2" x14ac:dyDescent="0.35">
      <c r="A113" s="1023">
        <v>1.26</v>
      </c>
      <c r="B113" s="1023">
        <v>44.2</v>
      </c>
    </row>
    <row r="114" spans="1:2" x14ac:dyDescent="0.35">
      <c r="A114" s="1023">
        <v>1.27</v>
      </c>
      <c r="B114" s="1023">
        <v>44.4</v>
      </c>
    </row>
    <row r="115" spans="1:2" ht="15" thickBot="1" x14ac:dyDescent="0.4">
      <c r="A115" s="1024">
        <v>1.28</v>
      </c>
      <c r="B115" s="1024">
        <v>44.5</v>
      </c>
    </row>
    <row r="116" spans="1:2" x14ac:dyDescent="0.35">
      <c r="A116" s="1023">
        <v>1.29</v>
      </c>
      <c r="B116" s="1023">
        <v>44.7</v>
      </c>
    </row>
    <row r="117" spans="1:2" x14ac:dyDescent="0.35">
      <c r="A117" s="1023">
        <v>1.3</v>
      </c>
      <c r="B117" s="1023">
        <v>44.8</v>
      </c>
    </row>
    <row r="118" spans="1:2" x14ac:dyDescent="0.35">
      <c r="A118" s="1023">
        <v>1.31</v>
      </c>
      <c r="B118" s="1023">
        <v>45</v>
      </c>
    </row>
    <row r="119" spans="1:2" x14ac:dyDescent="0.35">
      <c r="A119" s="1023">
        <v>1.32</v>
      </c>
      <c r="B119" s="1023">
        <v>45.2</v>
      </c>
    </row>
    <row r="120" spans="1:2" x14ac:dyDescent="0.35">
      <c r="A120" s="1023">
        <v>1.33</v>
      </c>
      <c r="B120" s="1023">
        <v>45.4</v>
      </c>
    </row>
    <row r="121" spans="1:2" x14ac:dyDescent="0.35">
      <c r="A121" s="1023">
        <v>1.34</v>
      </c>
      <c r="B121" s="1023">
        <v>45.5</v>
      </c>
    </row>
    <row r="122" spans="1:2" x14ac:dyDescent="0.35">
      <c r="A122" s="1023">
        <v>1.35</v>
      </c>
      <c r="B122" s="1023">
        <v>45.7</v>
      </c>
    </row>
    <row r="123" spans="1:2" x14ac:dyDescent="0.35">
      <c r="A123" s="1023">
        <v>1.36</v>
      </c>
      <c r="B123" s="1023">
        <v>45.9</v>
      </c>
    </row>
    <row r="124" spans="1:2" x14ac:dyDescent="0.35">
      <c r="A124" s="1023">
        <v>1.37</v>
      </c>
      <c r="B124" s="1023">
        <v>46</v>
      </c>
    </row>
    <row r="125" spans="1:2" x14ac:dyDescent="0.35">
      <c r="A125" s="1023">
        <v>1.38</v>
      </c>
      <c r="B125" s="1023">
        <v>46.2</v>
      </c>
    </row>
    <row r="126" spans="1:2" x14ac:dyDescent="0.35">
      <c r="A126" s="1023">
        <v>1.39</v>
      </c>
      <c r="B126" s="1023">
        <v>46.4</v>
      </c>
    </row>
    <row r="127" spans="1:2" x14ac:dyDescent="0.35">
      <c r="A127" s="1023">
        <v>1.4</v>
      </c>
      <c r="B127" s="1023">
        <v>46.6</v>
      </c>
    </row>
    <row r="128" spans="1:2" x14ac:dyDescent="0.35">
      <c r="A128" s="1023">
        <v>1.41</v>
      </c>
      <c r="B128" s="1023">
        <v>46.7</v>
      </c>
    </row>
    <row r="129" spans="1:2" x14ac:dyDescent="0.35">
      <c r="A129" s="1023">
        <v>1.42</v>
      </c>
      <c r="B129" s="1023">
        <v>46.9</v>
      </c>
    </row>
    <row r="130" spans="1:2" x14ac:dyDescent="0.35">
      <c r="A130" s="1023">
        <v>1.43</v>
      </c>
      <c r="B130" s="1023">
        <v>47</v>
      </c>
    </row>
    <row r="131" spans="1:2" x14ac:dyDescent="0.35">
      <c r="A131" s="1023">
        <v>1.44</v>
      </c>
      <c r="B131" s="1023">
        <v>47.2</v>
      </c>
    </row>
    <row r="132" spans="1:2" x14ac:dyDescent="0.35">
      <c r="A132" s="1023">
        <v>1.45</v>
      </c>
      <c r="B132" s="1023">
        <v>47.4</v>
      </c>
    </row>
    <row r="133" spans="1:2" x14ac:dyDescent="0.35">
      <c r="A133" s="1023">
        <v>1.46</v>
      </c>
      <c r="B133" s="1023">
        <v>47.6</v>
      </c>
    </row>
    <row r="134" spans="1:2" x14ac:dyDescent="0.35">
      <c r="A134" s="1023">
        <v>1.47</v>
      </c>
      <c r="B134" s="1023">
        <v>47.7</v>
      </c>
    </row>
    <row r="135" spans="1:2" x14ac:dyDescent="0.35">
      <c r="A135" s="1023">
        <v>1.48</v>
      </c>
      <c r="B135" s="1023">
        <v>47.9</v>
      </c>
    </row>
    <row r="136" spans="1:2" x14ac:dyDescent="0.35">
      <c r="A136" s="1023">
        <v>1.49</v>
      </c>
      <c r="B136" s="1023">
        <v>48</v>
      </c>
    </row>
    <row r="137" spans="1:2" x14ac:dyDescent="0.35">
      <c r="A137" s="1023">
        <v>1.5</v>
      </c>
      <c r="B137" s="1023">
        <v>48.2</v>
      </c>
    </row>
    <row r="138" spans="1:2" x14ac:dyDescent="0.35">
      <c r="A138" s="1023">
        <v>1.51</v>
      </c>
      <c r="B138" s="1023">
        <v>48.3</v>
      </c>
    </row>
    <row r="139" spans="1:2" x14ac:dyDescent="0.35">
      <c r="A139" s="1023">
        <v>1.52</v>
      </c>
      <c r="B139" s="1023">
        <v>48.5</v>
      </c>
    </row>
    <row r="140" spans="1:2" x14ac:dyDescent="0.35">
      <c r="A140" s="1023">
        <v>1.53</v>
      </c>
      <c r="B140" s="1023">
        <v>48.6</v>
      </c>
    </row>
    <row r="141" spans="1:2" x14ac:dyDescent="0.35">
      <c r="A141" s="1023">
        <v>1.54</v>
      </c>
      <c r="B141" s="1023">
        <v>48.8</v>
      </c>
    </row>
    <row r="142" spans="1:2" x14ac:dyDescent="0.35">
      <c r="A142" s="1023">
        <v>1.55</v>
      </c>
      <c r="B142" s="1023">
        <v>48.9</v>
      </c>
    </row>
    <row r="143" spans="1:2" x14ac:dyDescent="0.35">
      <c r="A143" s="1023">
        <v>1.56</v>
      </c>
      <c r="B143" s="1023">
        <v>49.1</v>
      </c>
    </row>
    <row r="144" spans="1:2" x14ac:dyDescent="0.35">
      <c r="A144" s="1023">
        <v>1.57</v>
      </c>
      <c r="B144" s="1023">
        <v>49.2</v>
      </c>
    </row>
    <row r="145" spans="1:2" x14ac:dyDescent="0.35">
      <c r="A145" s="1023">
        <v>1.58</v>
      </c>
      <c r="B145" s="1023">
        <v>49.4</v>
      </c>
    </row>
    <row r="146" spans="1:2" x14ac:dyDescent="0.35">
      <c r="A146" s="1023">
        <v>1.59</v>
      </c>
      <c r="B146" s="1023">
        <v>49.5</v>
      </c>
    </row>
    <row r="147" spans="1:2" x14ac:dyDescent="0.35">
      <c r="A147" s="1023">
        <v>1.6</v>
      </c>
      <c r="B147" s="1023">
        <v>49.7</v>
      </c>
    </row>
    <row r="148" spans="1:2" x14ac:dyDescent="0.35">
      <c r="A148" s="1023">
        <v>1.61</v>
      </c>
      <c r="B148" s="1023">
        <v>49.8</v>
      </c>
    </row>
    <row r="149" spans="1:2" x14ac:dyDescent="0.35">
      <c r="A149" s="1023">
        <v>1.62</v>
      </c>
      <c r="B149" s="1023">
        <v>50</v>
      </c>
    </row>
    <row r="150" spans="1:2" x14ac:dyDescent="0.35">
      <c r="A150" s="1023">
        <v>1.63</v>
      </c>
      <c r="B150" s="1023">
        <v>50.1</v>
      </c>
    </row>
    <row r="151" spans="1:2" x14ac:dyDescent="0.35">
      <c r="A151" s="1023">
        <v>1.64</v>
      </c>
      <c r="B151" s="1023">
        <v>50.2</v>
      </c>
    </row>
    <row r="152" spans="1:2" x14ac:dyDescent="0.35">
      <c r="A152" s="1023">
        <v>1.65</v>
      </c>
      <c r="B152" s="1023">
        <v>50.4</v>
      </c>
    </row>
    <row r="153" spans="1:2" ht="15" thickBot="1" x14ac:dyDescent="0.4">
      <c r="A153" s="1024">
        <v>1.66</v>
      </c>
      <c r="B153" s="1024">
        <v>50.7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S679"/>
  <sheetViews>
    <sheetView zoomScale="70" zoomScaleNormal="70" workbookViewId="0">
      <pane ySplit="1" topLeftCell="A461" activePane="bottomLeft" state="frozen"/>
      <selection pane="bottomLeft" activeCell="H28" sqref="H28"/>
    </sheetView>
  </sheetViews>
  <sheetFormatPr defaultRowHeight="14.5" x14ac:dyDescent="0.35"/>
  <cols>
    <col min="1" max="1" width="20.7265625" style="1" customWidth="1"/>
    <col min="2" max="2" width="23.26953125" style="1" customWidth="1"/>
    <col min="3" max="3" width="11.7265625" style="1" customWidth="1"/>
    <col min="4" max="4" width="14.453125" style="1" customWidth="1"/>
    <col min="5" max="5" width="14" style="1" customWidth="1"/>
    <col min="6" max="6" width="15.81640625" style="1" customWidth="1"/>
    <col min="7" max="7" width="17.453125" style="1" customWidth="1"/>
    <col min="8" max="8" width="18.1796875" style="1" customWidth="1"/>
    <col min="9" max="9" width="15.1796875" style="1" customWidth="1"/>
    <col min="10" max="10" width="21.81640625" style="1" customWidth="1"/>
    <col min="11" max="11" width="18.26953125" style="1" customWidth="1"/>
    <col min="12" max="12" width="12.26953125" style="1" customWidth="1"/>
    <col min="13" max="13" width="19.90625" style="1" customWidth="1"/>
    <col min="14" max="14" width="28.08984375" style="1" customWidth="1"/>
    <col min="15" max="15" width="18.81640625" style="1" customWidth="1"/>
    <col min="16" max="16" width="18.1796875" style="1" customWidth="1"/>
    <col min="17" max="17" width="22.7265625" style="1" customWidth="1"/>
    <col min="18" max="18" width="23.1796875" style="1" customWidth="1"/>
    <col min="19" max="19" width="13.36328125" customWidth="1"/>
  </cols>
  <sheetData>
    <row r="1" spans="1:19" x14ac:dyDescent="0.35">
      <c r="A1" s="1028" t="s">
        <v>444</v>
      </c>
      <c r="B1" s="1028" t="s">
        <v>445</v>
      </c>
      <c r="C1" s="1028" t="s">
        <v>446</v>
      </c>
      <c r="D1" s="1028" t="s">
        <v>447</v>
      </c>
      <c r="E1" s="1028" t="s">
        <v>448</v>
      </c>
      <c r="F1" s="1028" t="s">
        <v>449</v>
      </c>
      <c r="G1" s="1028" t="s">
        <v>450</v>
      </c>
      <c r="H1" s="1028" t="s">
        <v>451</v>
      </c>
      <c r="I1" s="1028" t="s">
        <v>452</v>
      </c>
      <c r="J1" s="1028" t="s">
        <v>453</v>
      </c>
      <c r="K1" s="1028" t="s">
        <v>454</v>
      </c>
      <c r="L1" s="1028" t="s">
        <v>455</v>
      </c>
      <c r="M1" s="1028" t="s">
        <v>456</v>
      </c>
      <c r="N1" s="1028" t="s">
        <v>457</v>
      </c>
      <c r="O1" s="1028" t="s">
        <v>458</v>
      </c>
      <c r="P1" s="1028" t="s">
        <v>459</v>
      </c>
      <c r="Q1" s="1028" t="s">
        <v>460</v>
      </c>
      <c r="R1" s="1028" t="s">
        <v>461</v>
      </c>
      <c r="S1" s="958"/>
    </row>
    <row r="2" spans="1:19" x14ac:dyDescent="0.35">
      <c r="A2" s="974" t="s">
        <v>1680</v>
      </c>
      <c r="B2" s="974" t="s">
        <v>1681</v>
      </c>
      <c r="C2" s="974">
        <v>1040</v>
      </c>
      <c r="D2" s="974">
        <v>-30</v>
      </c>
      <c r="E2" s="974">
        <v>-32</v>
      </c>
      <c r="F2" s="974">
        <v>29</v>
      </c>
      <c r="G2" s="974">
        <v>17</v>
      </c>
      <c r="H2" s="974">
        <v>5030</v>
      </c>
      <c r="I2" s="974">
        <v>10</v>
      </c>
      <c r="J2" s="974">
        <v>48</v>
      </c>
      <c r="K2" s="974">
        <v>300</v>
      </c>
      <c r="L2" s="974">
        <v>0.4</v>
      </c>
      <c r="M2" s="974">
        <v>425</v>
      </c>
      <c r="N2" s="974">
        <v>60</v>
      </c>
      <c r="O2" s="974">
        <v>2.6</v>
      </c>
      <c r="P2" s="974">
        <v>0.3</v>
      </c>
      <c r="Q2" s="974">
        <v>0.27</v>
      </c>
      <c r="R2" s="974">
        <v>0.35</v>
      </c>
    </row>
    <row r="3" spans="1:19" x14ac:dyDescent="0.35">
      <c r="A3" s="974" t="s">
        <v>1680</v>
      </c>
      <c r="B3" s="974" t="s">
        <v>1682</v>
      </c>
      <c r="C3" s="974">
        <v>70</v>
      </c>
      <c r="D3" s="974">
        <v>-8</v>
      </c>
      <c r="E3" s="974">
        <v>-10</v>
      </c>
      <c r="F3" s="974">
        <v>29</v>
      </c>
      <c r="G3" s="974">
        <v>20</v>
      </c>
      <c r="H3" s="974">
        <v>2860</v>
      </c>
      <c r="I3" s="974">
        <v>12</v>
      </c>
      <c r="J3" s="974">
        <v>112</v>
      </c>
      <c r="K3" s="974">
        <v>1525</v>
      </c>
      <c r="L3" s="974">
        <v>1.6</v>
      </c>
      <c r="M3" s="974">
        <v>1600</v>
      </c>
      <c r="N3" s="974">
        <v>160</v>
      </c>
      <c r="O3" s="974">
        <v>2</v>
      </c>
      <c r="P3" s="974">
        <v>0.3</v>
      </c>
      <c r="Q3" s="974">
        <v>0.33</v>
      </c>
      <c r="R3" s="974">
        <v>0.44</v>
      </c>
    </row>
    <row r="4" spans="1:19" x14ac:dyDescent="0.35">
      <c r="A4" s="974" t="s">
        <v>1680</v>
      </c>
      <c r="B4" s="974" t="s">
        <v>1683</v>
      </c>
      <c r="C4" s="974">
        <v>15</v>
      </c>
      <c r="D4" s="974">
        <v>-9</v>
      </c>
      <c r="E4" s="974">
        <v>-11</v>
      </c>
      <c r="F4" s="974">
        <v>31</v>
      </c>
      <c r="G4" s="974">
        <v>21</v>
      </c>
      <c r="H4" s="974">
        <v>2750</v>
      </c>
      <c r="I4" s="974">
        <v>8</v>
      </c>
      <c r="J4" s="974">
        <v>128</v>
      </c>
      <c r="K4" s="974">
        <v>1650</v>
      </c>
      <c r="L4" s="974">
        <v>1.7</v>
      </c>
      <c r="M4" s="974">
        <v>1700</v>
      </c>
      <c r="N4" s="974">
        <v>160</v>
      </c>
      <c r="O4" s="974">
        <v>2.4</v>
      </c>
      <c r="P4" s="974">
        <v>0.7</v>
      </c>
      <c r="Q4" s="974">
        <v>0.35</v>
      </c>
      <c r="R4" s="974">
        <v>0.47</v>
      </c>
    </row>
    <row r="5" spans="1:19" x14ac:dyDescent="0.35">
      <c r="A5" s="974" t="s">
        <v>1680</v>
      </c>
      <c r="B5" s="974" t="s">
        <v>1684</v>
      </c>
      <c r="C5" s="974">
        <v>12</v>
      </c>
      <c r="D5" s="974">
        <v>-5</v>
      </c>
      <c r="E5" s="974">
        <v>-8</v>
      </c>
      <c r="F5" s="974">
        <v>31</v>
      </c>
      <c r="G5" s="974">
        <v>19</v>
      </c>
      <c r="H5" s="974">
        <v>3100</v>
      </c>
      <c r="I5" s="974">
        <v>10</v>
      </c>
      <c r="J5" s="974">
        <v>144</v>
      </c>
      <c r="K5" s="974">
        <v>1900</v>
      </c>
      <c r="L5" s="974">
        <v>2</v>
      </c>
      <c r="M5" s="974">
        <v>2000</v>
      </c>
      <c r="N5" s="974">
        <v>220</v>
      </c>
      <c r="O5" s="974">
        <v>2.6</v>
      </c>
      <c r="P5" s="974">
        <v>0.4</v>
      </c>
      <c r="Q5" s="974">
        <v>0.24</v>
      </c>
      <c r="R5" s="974">
        <v>0.32</v>
      </c>
    </row>
    <row r="6" spans="1:19" x14ac:dyDescent="0.35">
      <c r="A6" s="974" t="s">
        <v>1680</v>
      </c>
      <c r="B6" s="974" t="s">
        <v>1685</v>
      </c>
      <c r="C6" s="974">
        <v>305</v>
      </c>
      <c r="D6" s="974">
        <v>-24</v>
      </c>
      <c r="E6" s="974">
        <v>-27</v>
      </c>
      <c r="F6" s="974">
        <v>34</v>
      </c>
      <c r="G6" s="974">
        <v>20</v>
      </c>
      <c r="H6" s="974">
        <v>3700</v>
      </c>
      <c r="I6" s="974">
        <v>10</v>
      </c>
      <c r="J6" s="974">
        <v>37</v>
      </c>
      <c r="K6" s="974">
        <v>250</v>
      </c>
      <c r="L6" s="974">
        <v>0.3</v>
      </c>
      <c r="M6" s="974">
        <v>300</v>
      </c>
      <c r="N6" s="974">
        <v>80</v>
      </c>
      <c r="O6" s="974">
        <v>1.7</v>
      </c>
      <c r="P6" s="974">
        <v>0.1</v>
      </c>
      <c r="Q6" s="974">
        <v>0.28999999999999998</v>
      </c>
      <c r="R6" s="974">
        <v>0.38</v>
      </c>
    </row>
    <row r="7" spans="1:19" x14ac:dyDescent="0.35">
      <c r="A7" s="974" t="s">
        <v>1680</v>
      </c>
      <c r="B7" s="974" t="s">
        <v>1686</v>
      </c>
      <c r="C7" s="974">
        <v>20</v>
      </c>
      <c r="D7" s="974">
        <v>-2</v>
      </c>
      <c r="E7" s="974">
        <v>-4</v>
      </c>
      <c r="F7" s="974">
        <v>23</v>
      </c>
      <c r="G7" s="974">
        <v>17</v>
      </c>
      <c r="H7" s="974">
        <v>3080</v>
      </c>
      <c r="I7" s="974">
        <v>13</v>
      </c>
      <c r="J7" s="974">
        <v>170</v>
      </c>
      <c r="K7" s="974">
        <v>2870</v>
      </c>
      <c r="L7" s="974">
        <v>3</v>
      </c>
      <c r="M7" s="974">
        <v>2890</v>
      </c>
      <c r="N7" s="974">
        <v>280</v>
      </c>
      <c r="O7" s="974">
        <v>1</v>
      </c>
      <c r="P7" s="974">
        <v>0.4</v>
      </c>
      <c r="Q7" s="974">
        <v>0.38</v>
      </c>
      <c r="R7" s="974">
        <v>0.5</v>
      </c>
    </row>
    <row r="8" spans="1:19" x14ac:dyDescent="0.35">
      <c r="A8" s="974" t="s">
        <v>1680</v>
      </c>
      <c r="B8" s="974" t="s">
        <v>1687</v>
      </c>
      <c r="C8" s="974">
        <v>840</v>
      </c>
      <c r="D8" s="974">
        <v>-37</v>
      </c>
      <c r="E8" s="974">
        <v>-39</v>
      </c>
      <c r="F8" s="974">
        <v>26</v>
      </c>
      <c r="G8" s="974">
        <v>18</v>
      </c>
      <c r="H8" s="974">
        <v>6300</v>
      </c>
      <c r="I8" s="974">
        <v>15</v>
      </c>
      <c r="J8" s="974">
        <v>64</v>
      </c>
      <c r="K8" s="974">
        <v>330</v>
      </c>
      <c r="L8" s="974">
        <v>0.5</v>
      </c>
      <c r="M8" s="974">
        <v>450</v>
      </c>
      <c r="N8" s="974">
        <v>80</v>
      </c>
      <c r="O8" s="974">
        <v>3.3</v>
      </c>
      <c r="P8" s="974">
        <v>0.1</v>
      </c>
      <c r="Q8" s="974">
        <v>0.23</v>
      </c>
      <c r="R8" s="974">
        <v>0.3</v>
      </c>
    </row>
    <row r="9" spans="1:19" x14ac:dyDescent="0.35">
      <c r="A9" s="974" t="s">
        <v>1680</v>
      </c>
      <c r="B9" s="974" t="s">
        <v>1688</v>
      </c>
      <c r="C9" s="974">
        <v>25</v>
      </c>
      <c r="D9" s="974">
        <v>-5</v>
      </c>
      <c r="E9" s="974">
        <v>-7</v>
      </c>
      <c r="F9" s="974">
        <v>23</v>
      </c>
      <c r="G9" s="974">
        <v>18</v>
      </c>
      <c r="H9" s="974">
        <v>3180</v>
      </c>
      <c r="I9" s="974">
        <v>13</v>
      </c>
      <c r="J9" s="974">
        <v>145</v>
      </c>
      <c r="K9" s="974">
        <v>2715</v>
      </c>
      <c r="L9" s="974">
        <v>2.8</v>
      </c>
      <c r="M9" s="974">
        <v>2800</v>
      </c>
      <c r="N9" s="974">
        <v>350</v>
      </c>
      <c r="O9" s="974">
        <v>2.6</v>
      </c>
      <c r="P9" s="974">
        <v>0.8</v>
      </c>
      <c r="Q9" s="974">
        <v>0.4</v>
      </c>
      <c r="R9" s="974">
        <v>0.5</v>
      </c>
    </row>
    <row r="10" spans="1:19" x14ac:dyDescent="0.35">
      <c r="A10" s="974" t="s">
        <v>1680</v>
      </c>
      <c r="B10" s="974" t="s">
        <v>1689</v>
      </c>
      <c r="C10" s="974">
        <v>40</v>
      </c>
      <c r="D10" s="974">
        <v>-14</v>
      </c>
      <c r="E10" s="974">
        <v>-18</v>
      </c>
      <c r="F10" s="974">
        <v>27</v>
      </c>
      <c r="G10" s="974">
        <v>19</v>
      </c>
      <c r="H10" s="974">
        <v>3560</v>
      </c>
      <c r="I10" s="974">
        <v>10</v>
      </c>
      <c r="J10" s="974">
        <v>140</v>
      </c>
      <c r="K10" s="974">
        <v>1500</v>
      </c>
      <c r="L10" s="974">
        <v>1.9</v>
      </c>
      <c r="M10" s="974">
        <v>1700</v>
      </c>
      <c r="N10" s="974">
        <v>350</v>
      </c>
      <c r="O10" s="974">
        <v>4.5</v>
      </c>
      <c r="P10" s="974">
        <v>0.8</v>
      </c>
      <c r="Q10" s="974">
        <v>0.28999999999999998</v>
      </c>
      <c r="R10" s="974">
        <v>0.39</v>
      </c>
    </row>
    <row r="11" spans="1:19" x14ac:dyDescent="0.35">
      <c r="A11" s="974" t="s">
        <v>1680</v>
      </c>
      <c r="B11" s="974" t="s">
        <v>1690</v>
      </c>
      <c r="C11" s="974">
        <v>755</v>
      </c>
      <c r="D11" s="974">
        <v>-31</v>
      </c>
      <c r="E11" s="974">
        <v>-34</v>
      </c>
      <c r="F11" s="974">
        <v>26</v>
      </c>
      <c r="G11" s="974">
        <v>17</v>
      </c>
      <c r="H11" s="974">
        <v>5450</v>
      </c>
      <c r="I11" s="974">
        <v>12</v>
      </c>
      <c r="J11" s="974">
        <v>54</v>
      </c>
      <c r="K11" s="974">
        <v>300</v>
      </c>
      <c r="L11" s="974">
        <v>0.6</v>
      </c>
      <c r="M11" s="974">
        <v>450</v>
      </c>
      <c r="N11" s="974">
        <v>100</v>
      </c>
      <c r="O11" s="974">
        <v>3.4</v>
      </c>
      <c r="P11" s="974">
        <v>0.2</v>
      </c>
      <c r="Q11" s="974">
        <v>0.28999999999999998</v>
      </c>
      <c r="R11" s="974">
        <v>0.39</v>
      </c>
    </row>
    <row r="12" spans="1:19" x14ac:dyDescent="0.35">
      <c r="A12" s="974" t="s">
        <v>1680</v>
      </c>
      <c r="B12" s="974" t="s">
        <v>1691</v>
      </c>
      <c r="C12" s="974">
        <v>455</v>
      </c>
      <c r="D12" s="974">
        <v>-24</v>
      </c>
      <c r="E12" s="974">
        <v>-27</v>
      </c>
      <c r="F12" s="974">
        <v>34</v>
      </c>
      <c r="G12" s="974">
        <v>20</v>
      </c>
      <c r="H12" s="974">
        <v>3700</v>
      </c>
      <c r="I12" s="974">
        <v>10</v>
      </c>
      <c r="J12" s="974">
        <v>37</v>
      </c>
      <c r="K12" s="974">
        <v>250</v>
      </c>
      <c r="L12" s="974">
        <v>0.3</v>
      </c>
      <c r="M12" s="974">
        <v>300</v>
      </c>
      <c r="N12" s="974">
        <v>80</v>
      </c>
      <c r="O12" s="974">
        <v>1.7</v>
      </c>
      <c r="P12" s="974">
        <v>0.2</v>
      </c>
      <c r="Q12" s="974">
        <v>0.28999999999999998</v>
      </c>
      <c r="R12" s="974">
        <v>0.39</v>
      </c>
    </row>
    <row r="13" spans="1:19" x14ac:dyDescent="0.35">
      <c r="A13" s="974" t="s">
        <v>1680</v>
      </c>
      <c r="B13" s="974" t="s">
        <v>1692</v>
      </c>
      <c r="C13" s="974">
        <v>20</v>
      </c>
      <c r="D13" s="974">
        <v>-5</v>
      </c>
      <c r="E13" s="974">
        <v>-7</v>
      </c>
      <c r="F13" s="974">
        <v>26</v>
      </c>
      <c r="G13" s="974">
        <v>18</v>
      </c>
      <c r="H13" s="974">
        <v>3000</v>
      </c>
      <c r="I13" s="974">
        <v>10</v>
      </c>
      <c r="J13" s="974">
        <v>116</v>
      </c>
      <c r="K13" s="974">
        <v>1500</v>
      </c>
      <c r="L13" s="974">
        <v>1.6</v>
      </c>
      <c r="M13" s="974">
        <v>1600</v>
      </c>
      <c r="N13" s="974">
        <v>260</v>
      </c>
      <c r="O13" s="974">
        <v>2.8</v>
      </c>
      <c r="P13" s="974">
        <v>0.4</v>
      </c>
      <c r="Q13" s="974">
        <v>0.41</v>
      </c>
      <c r="R13" s="974">
        <v>0.48</v>
      </c>
    </row>
    <row r="14" spans="1:19" x14ac:dyDescent="0.35">
      <c r="A14" s="974" t="s">
        <v>1680</v>
      </c>
      <c r="B14" s="974" t="s">
        <v>1693</v>
      </c>
      <c r="C14" s="974">
        <v>845</v>
      </c>
      <c r="D14" s="974">
        <v>-24</v>
      </c>
      <c r="E14" s="974">
        <v>-26</v>
      </c>
      <c r="F14" s="974">
        <v>31</v>
      </c>
      <c r="G14" s="974">
        <v>19</v>
      </c>
      <c r="H14" s="974">
        <v>4750</v>
      </c>
      <c r="I14" s="974">
        <v>10</v>
      </c>
      <c r="J14" s="974">
        <v>64</v>
      </c>
      <c r="K14" s="974">
        <v>325</v>
      </c>
      <c r="L14" s="974">
        <v>0.4</v>
      </c>
      <c r="M14" s="974">
        <v>550</v>
      </c>
      <c r="N14" s="974">
        <v>60</v>
      </c>
      <c r="O14" s="974">
        <v>3.6</v>
      </c>
      <c r="P14" s="974">
        <v>0.2</v>
      </c>
      <c r="Q14" s="974">
        <v>0.28999999999999998</v>
      </c>
      <c r="R14" s="974">
        <v>0.38</v>
      </c>
    </row>
    <row r="15" spans="1:19" x14ac:dyDescent="0.35">
      <c r="A15" s="974" t="s">
        <v>1680</v>
      </c>
      <c r="B15" s="974" t="s">
        <v>1694</v>
      </c>
      <c r="C15" s="974">
        <v>430</v>
      </c>
      <c r="D15" s="974">
        <v>-18</v>
      </c>
      <c r="E15" s="974">
        <v>-20</v>
      </c>
      <c r="F15" s="974">
        <v>32</v>
      </c>
      <c r="G15" s="974">
        <v>20</v>
      </c>
      <c r="H15" s="974">
        <v>3580</v>
      </c>
      <c r="I15" s="974">
        <v>10</v>
      </c>
      <c r="J15" s="974">
        <v>54</v>
      </c>
      <c r="K15" s="974">
        <v>560</v>
      </c>
      <c r="L15" s="974">
        <v>0.6</v>
      </c>
      <c r="M15" s="974">
        <v>700</v>
      </c>
      <c r="N15" s="974">
        <v>60</v>
      </c>
      <c r="O15" s="974">
        <v>4.2</v>
      </c>
      <c r="P15" s="974">
        <v>0.1</v>
      </c>
      <c r="Q15" s="974">
        <v>0.26</v>
      </c>
      <c r="R15" s="974">
        <v>0.34</v>
      </c>
    </row>
    <row r="16" spans="1:19" x14ac:dyDescent="0.35">
      <c r="A16" s="974" t="s">
        <v>1680</v>
      </c>
      <c r="B16" s="974" t="s">
        <v>1695</v>
      </c>
      <c r="C16" s="974">
        <v>605</v>
      </c>
      <c r="D16" s="974">
        <v>-35</v>
      </c>
      <c r="E16" s="974">
        <v>-38</v>
      </c>
      <c r="F16" s="974">
        <v>27</v>
      </c>
      <c r="G16" s="974">
        <v>18</v>
      </c>
      <c r="H16" s="974">
        <v>5500</v>
      </c>
      <c r="I16" s="974">
        <v>15</v>
      </c>
      <c r="J16" s="974">
        <v>70</v>
      </c>
      <c r="K16" s="974">
        <v>400</v>
      </c>
      <c r="L16" s="974">
        <v>0.6</v>
      </c>
      <c r="M16" s="974">
        <v>625</v>
      </c>
      <c r="N16" s="974">
        <v>60</v>
      </c>
      <c r="O16" s="974">
        <v>2.4</v>
      </c>
      <c r="P16" s="974">
        <v>0.2</v>
      </c>
      <c r="Q16" s="974">
        <v>0.3</v>
      </c>
      <c r="R16" s="974">
        <v>0.4</v>
      </c>
    </row>
    <row r="17" spans="1:18" x14ac:dyDescent="0.35">
      <c r="A17" s="974" t="s">
        <v>1680</v>
      </c>
      <c r="B17" s="974" t="s">
        <v>1696</v>
      </c>
      <c r="C17" s="974">
        <v>10</v>
      </c>
      <c r="D17" s="974">
        <v>-9</v>
      </c>
      <c r="E17" s="974">
        <v>-11</v>
      </c>
      <c r="F17" s="974">
        <v>30</v>
      </c>
      <c r="G17" s="974">
        <v>20</v>
      </c>
      <c r="H17" s="974">
        <v>2780</v>
      </c>
      <c r="I17" s="974">
        <v>8</v>
      </c>
      <c r="J17" s="974">
        <v>139</v>
      </c>
      <c r="K17" s="974">
        <v>1625</v>
      </c>
      <c r="L17" s="974">
        <v>1.7</v>
      </c>
      <c r="M17" s="974">
        <v>1700</v>
      </c>
      <c r="N17" s="974">
        <v>160</v>
      </c>
      <c r="O17" s="974">
        <v>2.2000000000000002</v>
      </c>
      <c r="P17" s="974">
        <v>0.3</v>
      </c>
      <c r="Q17" s="974">
        <v>0.35</v>
      </c>
      <c r="R17" s="974">
        <v>0.47</v>
      </c>
    </row>
    <row r="18" spans="1:18" x14ac:dyDescent="0.35">
      <c r="A18" s="974" t="s">
        <v>1680</v>
      </c>
      <c r="B18" s="974" t="s">
        <v>1697</v>
      </c>
      <c r="C18" s="974">
        <v>15</v>
      </c>
      <c r="D18" s="974">
        <v>-7</v>
      </c>
      <c r="E18" s="974">
        <v>-9</v>
      </c>
      <c r="F18" s="974">
        <v>27</v>
      </c>
      <c r="G18" s="974">
        <v>18</v>
      </c>
      <c r="H18" s="974">
        <v>2930</v>
      </c>
      <c r="I18" s="974">
        <v>10</v>
      </c>
      <c r="J18" s="974">
        <v>106</v>
      </c>
      <c r="K18" s="974">
        <v>1175</v>
      </c>
      <c r="L18" s="974">
        <v>1.3</v>
      </c>
      <c r="M18" s="974">
        <v>1200</v>
      </c>
      <c r="N18" s="974">
        <v>260</v>
      </c>
      <c r="O18" s="974">
        <v>2.4</v>
      </c>
      <c r="P18" s="974">
        <v>0.4</v>
      </c>
      <c r="Q18" s="974">
        <v>0.41</v>
      </c>
      <c r="R18" s="974">
        <v>0.48</v>
      </c>
    </row>
    <row r="19" spans="1:18" x14ac:dyDescent="0.35">
      <c r="A19" s="974" t="s">
        <v>1680</v>
      </c>
      <c r="B19" s="974" t="s">
        <v>1698</v>
      </c>
      <c r="C19" s="974">
        <v>10</v>
      </c>
      <c r="D19" s="974">
        <v>-7</v>
      </c>
      <c r="E19" s="974">
        <v>-9</v>
      </c>
      <c r="F19" s="974">
        <v>28</v>
      </c>
      <c r="G19" s="974">
        <v>18</v>
      </c>
      <c r="H19" s="974">
        <v>2930</v>
      </c>
      <c r="I19" s="974">
        <v>10</v>
      </c>
      <c r="J19" s="974">
        <v>106</v>
      </c>
      <c r="K19" s="974">
        <v>1400</v>
      </c>
      <c r="L19" s="974">
        <v>1.5</v>
      </c>
      <c r="M19" s="974">
        <v>1450</v>
      </c>
      <c r="N19" s="974">
        <v>260</v>
      </c>
      <c r="O19" s="974">
        <v>2.4</v>
      </c>
      <c r="P19" s="974">
        <v>0.4</v>
      </c>
      <c r="Q19" s="974">
        <v>0.41</v>
      </c>
      <c r="R19" s="974">
        <v>0.48</v>
      </c>
    </row>
    <row r="20" spans="1:18" x14ac:dyDescent="0.35">
      <c r="A20" s="974" t="s">
        <v>1680</v>
      </c>
      <c r="B20" s="974" t="s">
        <v>1699</v>
      </c>
      <c r="C20" s="974">
        <v>910</v>
      </c>
      <c r="D20" s="974">
        <v>-26</v>
      </c>
      <c r="E20" s="974">
        <v>-28</v>
      </c>
      <c r="F20" s="974">
        <v>32</v>
      </c>
      <c r="G20" s="974">
        <v>18</v>
      </c>
      <c r="H20" s="974">
        <v>4400</v>
      </c>
      <c r="I20" s="974">
        <v>12</v>
      </c>
      <c r="J20" s="974">
        <v>59</v>
      </c>
      <c r="K20" s="974">
        <v>275</v>
      </c>
      <c r="L20" s="974">
        <v>0.3</v>
      </c>
      <c r="M20" s="974">
        <v>400</v>
      </c>
      <c r="N20" s="974">
        <v>100</v>
      </c>
      <c r="O20" s="974">
        <v>3</v>
      </c>
      <c r="P20" s="974">
        <v>0.2</v>
      </c>
      <c r="Q20" s="974">
        <v>0.25</v>
      </c>
      <c r="R20" s="974">
        <v>0.33</v>
      </c>
    </row>
    <row r="21" spans="1:18" x14ac:dyDescent="0.35">
      <c r="A21" s="974" t="s">
        <v>1680</v>
      </c>
      <c r="B21" s="974" t="s">
        <v>1700</v>
      </c>
      <c r="C21" s="974">
        <v>585</v>
      </c>
      <c r="D21" s="974">
        <v>-18</v>
      </c>
      <c r="E21" s="974">
        <v>-20</v>
      </c>
      <c r="F21" s="974">
        <v>31</v>
      </c>
      <c r="G21" s="974">
        <v>20</v>
      </c>
      <c r="H21" s="974">
        <v>3650</v>
      </c>
      <c r="I21" s="974">
        <v>10</v>
      </c>
      <c r="J21" s="974">
        <v>54</v>
      </c>
      <c r="K21" s="974">
        <v>675</v>
      </c>
      <c r="L21" s="974">
        <v>0.8</v>
      </c>
      <c r="M21" s="974">
        <v>850</v>
      </c>
      <c r="N21" s="974">
        <v>80</v>
      </c>
      <c r="O21" s="974">
        <v>4.2</v>
      </c>
      <c r="P21" s="974">
        <v>0.1</v>
      </c>
      <c r="Q21" s="974">
        <v>0.25</v>
      </c>
      <c r="R21" s="974">
        <v>0.33</v>
      </c>
    </row>
    <row r="22" spans="1:18" x14ac:dyDescent="0.35">
      <c r="A22" s="974" t="s">
        <v>1680</v>
      </c>
      <c r="B22" s="974" t="s">
        <v>1701</v>
      </c>
      <c r="C22" s="974">
        <v>5</v>
      </c>
      <c r="D22" s="974">
        <v>-4</v>
      </c>
      <c r="E22" s="974">
        <v>-6</v>
      </c>
      <c r="F22" s="974">
        <v>28</v>
      </c>
      <c r="G22" s="974">
        <v>19</v>
      </c>
      <c r="H22" s="974">
        <v>2880</v>
      </c>
      <c r="I22" s="974">
        <v>8</v>
      </c>
      <c r="J22" s="974">
        <v>86</v>
      </c>
      <c r="K22" s="974">
        <v>925</v>
      </c>
      <c r="L22" s="974">
        <v>1.1000000000000001</v>
      </c>
      <c r="M22" s="974">
        <v>950</v>
      </c>
      <c r="N22" s="974">
        <v>160</v>
      </c>
      <c r="O22" s="974">
        <v>1.8</v>
      </c>
      <c r="P22" s="974">
        <v>0.2</v>
      </c>
      <c r="Q22" s="974">
        <v>0.32</v>
      </c>
      <c r="R22" s="974">
        <v>0.4</v>
      </c>
    </row>
    <row r="23" spans="1:18" x14ac:dyDescent="0.35">
      <c r="A23" s="974" t="s">
        <v>1680</v>
      </c>
      <c r="B23" s="974" t="s">
        <v>1702</v>
      </c>
      <c r="C23" s="974">
        <v>665</v>
      </c>
      <c r="D23" s="974">
        <v>-38</v>
      </c>
      <c r="E23" s="974">
        <v>-40</v>
      </c>
      <c r="F23" s="974">
        <v>27</v>
      </c>
      <c r="G23" s="974">
        <v>18</v>
      </c>
      <c r="H23" s="974">
        <v>5900</v>
      </c>
      <c r="I23" s="974">
        <v>18</v>
      </c>
      <c r="J23" s="974">
        <v>75</v>
      </c>
      <c r="K23" s="974">
        <v>325</v>
      </c>
      <c r="L23" s="974">
        <v>0.5</v>
      </c>
      <c r="M23" s="974">
        <v>475</v>
      </c>
      <c r="N23" s="974">
        <v>100</v>
      </c>
      <c r="O23" s="974">
        <v>2.5</v>
      </c>
      <c r="P23" s="974">
        <v>0.2</v>
      </c>
      <c r="Q23" s="974">
        <v>0.3</v>
      </c>
      <c r="R23" s="974">
        <v>0.4</v>
      </c>
    </row>
    <row r="24" spans="1:18" x14ac:dyDescent="0.35">
      <c r="A24" s="974" t="s">
        <v>1680</v>
      </c>
      <c r="B24" s="974" t="s">
        <v>1703</v>
      </c>
      <c r="C24" s="974">
        <v>800</v>
      </c>
      <c r="D24" s="974">
        <v>-37</v>
      </c>
      <c r="E24" s="974">
        <v>-40</v>
      </c>
      <c r="F24" s="974">
        <v>24</v>
      </c>
      <c r="G24" s="974">
        <v>15</v>
      </c>
      <c r="H24" s="974">
        <v>6730</v>
      </c>
      <c r="I24" s="974">
        <v>10</v>
      </c>
      <c r="J24" s="974">
        <v>45</v>
      </c>
      <c r="K24" s="974">
        <v>265</v>
      </c>
      <c r="L24" s="974">
        <v>0.6</v>
      </c>
      <c r="M24" s="974">
        <v>425</v>
      </c>
      <c r="N24" s="974">
        <v>50</v>
      </c>
      <c r="O24" s="974">
        <v>2.8</v>
      </c>
      <c r="P24" s="974">
        <v>0.1</v>
      </c>
      <c r="Q24" s="974">
        <v>0.23</v>
      </c>
      <c r="R24" s="974">
        <v>0.3</v>
      </c>
    </row>
    <row r="25" spans="1:18" x14ac:dyDescent="0.35">
      <c r="A25" s="974" t="s">
        <v>1680</v>
      </c>
      <c r="B25" s="974" t="s">
        <v>1704</v>
      </c>
      <c r="C25" s="974">
        <v>450</v>
      </c>
      <c r="D25" s="974">
        <v>-28</v>
      </c>
      <c r="E25" s="974">
        <v>-30</v>
      </c>
      <c r="F25" s="974">
        <v>29</v>
      </c>
      <c r="G25" s="974">
        <v>17</v>
      </c>
      <c r="H25" s="974">
        <v>4800</v>
      </c>
      <c r="I25" s="974">
        <v>10</v>
      </c>
      <c r="J25" s="974">
        <v>48</v>
      </c>
      <c r="K25" s="974">
        <v>275</v>
      </c>
      <c r="L25" s="974">
        <v>0.4</v>
      </c>
      <c r="M25" s="974">
        <v>375</v>
      </c>
      <c r="N25" s="974">
        <v>100</v>
      </c>
      <c r="O25" s="974">
        <v>1.8</v>
      </c>
      <c r="P25" s="974">
        <v>0.2</v>
      </c>
      <c r="Q25" s="974">
        <v>0.27</v>
      </c>
      <c r="R25" s="974">
        <v>0.35</v>
      </c>
    </row>
    <row r="26" spans="1:18" x14ac:dyDescent="0.35">
      <c r="A26" s="974" t="s">
        <v>1680</v>
      </c>
      <c r="B26" s="974" t="s">
        <v>1705</v>
      </c>
      <c r="C26" s="974">
        <v>10</v>
      </c>
      <c r="D26" s="974">
        <v>-6</v>
      </c>
      <c r="E26" s="974">
        <v>-8</v>
      </c>
      <c r="F26" s="974">
        <v>28</v>
      </c>
      <c r="G26" s="974">
        <v>19</v>
      </c>
      <c r="H26" s="974">
        <v>2980</v>
      </c>
      <c r="I26" s="974">
        <v>8</v>
      </c>
      <c r="J26" s="974">
        <v>103</v>
      </c>
      <c r="K26" s="974">
        <v>1000</v>
      </c>
      <c r="L26" s="974">
        <v>1.1000000000000001</v>
      </c>
      <c r="M26" s="974">
        <v>1050</v>
      </c>
      <c r="N26" s="974">
        <v>180</v>
      </c>
      <c r="O26" s="974">
        <v>1.8</v>
      </c>
      <c r="P26" s="974">
        <v>0.4</v>
      </c>
      <c r="Q26" s="974">
        <v>0.31</v>
      </c>
      <c r="R26" s="974">
        <v>0.39</v>
      </c>
    </row>
    <row r="27" spans="1:18" x14ac:dyDescent="0.35">
      <c r="A27" s="974" t="s">
        <v>1680</v>
      </c>
      <c r="B27" s="974" t="s">
        <v>1706</v>
      </c>
      <c r="C27" s="974">
        <v>1065</v>
      </c>
      <c r="D27" s="974">
        <v>-28</v>
      </c>
      <c r="E27" s="974">
        <v>-31</v>
      </c>
      <c r="F27" s="974">
        <v>30</v>
      </c>
      <c r="G27" s="974">
        <v>19</v>
      </c>
      <c r="H27" s="974">
        <v>4600</v>
      </c>
      <c r="I27" s="974">
        <v>13</v>
      </c>
      <c r="J27" s="974">
        <v>64</v>
      </c>
      <c r="K27" s="974">
        <v>440</v>
      </c>
      <c r="L27" s="974">
        <v>0.5</v>
      </c>
      <c r="M27" s="974">
        <v>650</v>
      </c>
      <c r="N27" s="974">
        <v>100</v>
      </c>
      <c r="O27" s="974">
        <v>3.6</v>
      </c>
      <c r="P27" s="974">
        <v>0.2</v>
      </c>
      <c r="Q27" s="974">
        <v>0.3</v>
      </c>
      <c r="R27" s="974">
        <v>0.4</v>
      </c>
    </row>
    <row r="28" spans="1:18" x14ac:dyDescent="0.35">
      <c r="A28" s="974" t="s">
        <v>403</v>
      </c>
      <c r="B28" s="974" t="s">
        <v>1707</v>
      </c>
      <c r="C28" s="974">
        <v>1010</v>
      </c>
      <c r="D28" s="974">
        <v>-27</v>
      </c>
      <c r="E28" s="974">
        <v>-30</v>
      </c>
      <c r="F28" s="974">
        <v>30</v>
      </c>
      <c r="G28" s="974">
        <v>19</v>
      </c>
      <c r="H28" s="974">
        <v>4750</v>
      </c>
      <c r="I28" s="974">
        <v>13</v>
      </c>
      <c r="J28" s="974">
        <v>118</v>
      </c>
      <c r="K28" s="974">
        <v>860</v>
      </c>
      <c r="L28" s="974">
        <v>0.9</v>
      </c>
      <c r="M28" s="974">
        <v>1175</v>
      </c>
      <c r="N28" s="974">
        <v>100</v>
      </c>
      <c r="O28" s="974">
        <v>4.5</v>
      </c>
      <c r="P28" s="974">
        <v>0.2</v>
      </c>
      <c r="Q28" s="974">
        <v>0.3</v>
      </c>
      <c r="R28" s="974">
        <v>0.4</v>
      </c>
    </row>
    <row r="29" spans="1:18" x14ac:dyDescent="0.35">
      <c r="A29" s="974" t="s">
        <v>403</v>
      </c>
      <c r="B29" s="974" t="s">
        <v>1708</v>
      </c>
      <c r="C29" s="974">
        <v>465</v>
      </c>
      <c r="D29" s="974">
        <v>-39</v>
      </c>
      <c r="E29" s="974">
        <v>-42</v>
      </c>
      <c r="F29" s="974">
        <v>28</v>
      </c>
      <c r="G29" s="974">
        <v>18</v>
      </c>
      <c r="H29" s="974">
        <v>6710</v>
      </c>
      <c r="I29" s="974">
        <v>15</v>
      </c>
      <c r="J29" s="974">
        <v>70</v>
      </c>
      <c r="K29" s="974">
        <v>325</v>
      </c>
      <c r="L29" s="974">
        <v>0.6</v>
      </c>
      <c r="M29" s="974">
        <v>450</v>
      </c>
      <c r="N29" s="974">
        <v>80</v>
      </c>
      <c r="O29" s="974">
        <v>2.4</v>
      </c>
      <c r="P29" s="974">
        <v>0.1</v>
      </c>
      <c r="Q29" s="974">
        <v>0.23</v>
      </c>
      <c r="R29" s="974">
        <v>0.3</v>
      </c>
    </row>
    <row r="30" spans="1:18" x14ac:dyDescent="0.35">
      <c r="A30" s="974" t="s">
        <v>403</v>
      </c>
      <c r="B30" s="974" t="s">
        <v>1709</v>
      </c>
      <c r="C30" s="974">
        <v>685</v>
      </c>
      <c r="D30" s="974">
        <v>-35</v>
      </c>
      <c r="E30" s="974">
        <v>-37</v>
      </c>
      <c r="F30" s="974">
        <v>26</v>
      </c>
      <c r="G30" s="974">
        <v>18</v>
      </c>
      <c r="H30" s="974">
        <v>5750</v>
      </c>
      <c r="I30" s="974">
        <v>15</v>
      </c>
      <c r="J30" s="974">
        <v>72</v>
      </c>
      <c r="K30" s="974">
        <v>320</v>
      </c>
      <c r="L30" s="974">
        <v>0.5</v>
      </c>
      <c r="M30" s="974">
        <v>475</v>
      </c>
      <c r="N30" s="974">
        <v>100</v>
      </c>
      <c r="O30" s="974">
        <v>2.8</v>
      </c>
      <c r="P30" s="974">
        <v>0.1</v>
      </c>
      <c r="Q30" s="974">
        <v>0.28999999999999998</v>
      </c>
      <c r="R30" s="974">
        <v>0.39</v>
      </c>
    </row>
    <row r="31" spans="1:18" x14ac:dyDescent="0.35">
      <c r="A31" s="974" t="s">
        <v>403</v>
      </c>
      <c r="B31" s="974" t="s">
        <v>1710</v>
      </c>
      <c r="C31" s="974">
        <v>1145</v>
      </c>
      <c r="D31" s="974">
        <v>-27</v>
      </c>
      <c r="E31" s="974">
        <v>-30</v>
      </c>
      <c r="F31" s="974">
        <v>27</v>
      </c>
      <c r="G31" s="974">
        <v>17</v>
      </c>
      <c r="H31" s="974">
        <v>5800</v>
      </c>
      <c r="I31" s="974">
        <v>10</v>
      </c>
      <c r="J31" s="974">
        <v>70</v>
      </c>
      <c r="K31" s="974">
        <v>625</v>
      </c>
      <c r="L31" s="974">
        <v>0.8</v>
      </c>
      <c r="M31" s="974">
        <v>1500</v>
      </c>
      <c r="N31" s="974">
        <v>80</v>
      </c>
      <c r="O31" s="974">
        <v>9.4</v>
      </c>
      <c r="P31" s="974">
        <v>0.2</v>
      </c>
      <c r="Q31" s="974">
        <v>0.24</v>
      </c>
      <c r="R31" s="974">
        <v>0.32</v>
      </c>
    </row>
    <row r="32" spans="1:18" x14ac:dyDescent="0.35">
      <c r="A32" s="974" t="s">
        <v>403</v>
      </c>
      <c r="B32" s="974" t="s">
        <v>1711</v>
      </c>
      <c r="C32" s="974">
        <v>790</v>
      </c>
      <c r="D32" s="974">
        <v>-27</v>
      </c>
      <c r="E32" s="974">
        <v>-30</v>
      </c>
      <c r="F32" s="974">
        <v>30</v>
      </c>
      <c r="G32" s="974">
        <v>17</v>
      </c>
      <c r="H32" s="974">
        <v>4750</v>
      </c>
      <c r="I32" s="974">
        <v>10</v>
      </c>
      <c r="J32" s="974">
        <v>55</v>
      </c>
      <c r="K32" s="974">
        <v>325</v>
      </c>
      <c r="L32" s="974">
        <v>0.6</v>
      </c>
      <c r="M32" s="974">
        <v>500</v>
      </c>
      <c r="N32" s="974">
        <v>100</v>
      </c>
      <c r="O32" s="974">
        <v>3.7</v>
      </c>
      <c r="P32" s="974">
        <v>0.2</v>
      </c>
      <c r="Q32" s="974">
        <v>0.26</v>
      </c>
      <c r="R32" s="974">
        <v>0.35</v>
      </c>
    </row>
    <row r="33" spans="1:18" x14ac:dyDescent="0.35">
      <c r="A33" s="974" t="s">
        <v>403</v>
      </c>
      <c r="B33" s="974" t="s">
        <v>1712</v>
      </c>
      <c r="C33" s="974">
        <v>120</v>
      </c>
      <c r="D33" s="974">
        <v>-8</v>
      </c>
      <c r="E33" s="974">
        <v>-11</v>
      </c>
      <c r="F33" s="974">
        <v>31</v>
      </c>
      <c r="G33" s="974">
        <v>18</v>
      </c>
      <c r="H33" s="974">
        <v>3230</v>
      </c>
      <c r="I33" s="974">
        <v>13</v>
      </c>
      <c r="J33" s="974">
        <v>200</v>
      </c>
      <c r="K33" s="974">
        <v>2730</v>
      </c>
      <c r="L33" s="974">
        <v>2.8</v>
      </c>
      <c r="M33" s="974">
        <v>2850</v>
      </c>
      <c r="N33" s="974">
        <v>250</v>
      </c>
      <c r="O33" s="974">
        <v>2.8</v>
      </c>
      <c r="P33" s="974">
        <v>0.6</v>
      </c>
      <c r="Q33" s="974">
        <v>0.24</v>
      </c>
      <c r="R33" s="974">
        <v>0.32</v>
      </c>
    </row>
    <row r="34" spans="1:18" x14ac:dyDescent="0.35">
      <c r="A34" s="974" t="s">
        <v>403</v>
      </c>
      <c r="B34" s="974" t="s">
        <v>1713</v>
      </c>
      <c r="C34" s="974">
        <v>565</v>
      </c>
      <c r="D34" s="974">
        <v>-19</v>
      </c>
      <c r="E34" s="974">
        <v>-22</v>
      </c>
      <c r="F34" s="974">
        <v>34</v>
      </c>
      <c r="G34" s="974">
        <v>20</v>
      </c>
      <c r="H34" s="974">
        <v>3820</v>
      </c>
      <c r="I34" s="974">
        <v>10</v>
      </c>
      <c r="J34" s="974">
        <v>48</v>
      </c>
      <c r="K34" s="974">
        <v>390</v>
      </c>
      <c r="L34" s="974">
        <v>0.5</v>
      </c>
      <c r="M34" s="974">
        <v>475</v>
      </c>
      <c r="N34" s="974">
        <v>80</v>
      </c>
      <c r="O34" s="974">
        <v>2.8</v>
      </c>
      <c r="P34" s="974">
        <v>0.1</v>
      </c>
      <c r="Q34" s="974">
        <v>0.3</v>
      </c>
      <c r="R34" s="974">
        <v>0.4</v>
      </c>
    </row>
    <row r="35" spans="1:18" x14ac:dyDescent="0.35">
      <c r="A35" s="974" t="s">
        <v>403</v>
      </c>
      <c r="B35" s="974" t="s">
        <v>1714</v>
      </c>
      <c r="C35" s="974">
        <v>745</v>
      </c>
      <c r="D35" s="974">
        <v>-20</v>
      </c>
      <c r="E35" s="974">
        <v>-23</v>
      </c>
      <c r="F35" s="974">
        <v>34</v>
      </c>
      <c r="G35" s="974">
        <v>20</v>
      </c>
      <c r="H35" s="974">
        <v>4100</v>
      </c>
      <c r="I35" s="974">
        <v>10</v>
      </c>
      <c r="J35" s="974">
        <v>64</v>
      </c>
      <c r="K35" s="974">
        <v>430</v>
      </c>
      <c r="L35" s="974">
        <v>0.5</v>
      </c>
      <c r="M35" s="974">
        <v>550</v>
      </c>
      <c r="N35" s="974">
        <v>80</v>
      </c>
      <c r="O35" s="974">
        <v>3.6</v>
      </c>
      <c r="P35" s="974">
        <v>0.1</v>
      </c>
      <c r="Q35" s="974">
        <v>0.3</v>
      </c>
      <c r="R35" s="974">
        <v>0.4</v>
      </c>
    </row>
    <row r="36" spans="1:18" x14ac:dyDescent="0.35">
      <c r="A36" s="974" t="s">
        <v>403</v>
      </c>
      <c r="B36" s="974" t="s">
        <v>1715</v>
      </c>
      <c r="C36" s="974">
        <v>40</v>
      </c>
      <c r="D36" s="974">
        <v>-13</v>
      </c>
      <c r="E36" s="974">
        <v>-15</v>
      </c>
      <c r="F36" s="974">
        <v>31</v>
      </c>
      <c r="G36" s="974">
        <v>20</v>
      </c>
      <c r="H36" s="974">
        <v>2820</v>
      </c>
      <c r="I36" s="974">
        <v>8</v>
      </c>
      <c r="J36" s="974">
        <v>139</v>
      </c>
      <c r="K36" s="974">
        <v>1825</v>
      </c>
      <c r="L36" s="974">
        <v>1.9</v>
      </c>
      <c r="M36" s="974">
        <v>1900</v>
      </c>
      <c r="N36" s="974">
        <v>140</v>
      </c>
      <c r="O36" s="974">
        <v>2.8</v>
      </c>
      <c r="P36" s="974">
        <v>0.7</v>
      </c>
      <c r="Q36" s="974">
        <v>0.47</v>
      </c>
      <c r="R36" s="974">
        <v>0.63</v>
      </c>
    </row>
    <row r="37" spans="1:18" x14ac:dyDescent="0.35">
      <c r="A37" s="974" t="s">
        <v>403</v>
      </c>
      <c r="B37" s="974" t="s">
        <v>1716</v>
      </c>
      <c r="C37" s="974">
        <v>20</v>
      </c>
      <c r="D37" s="974">
        <v>-1</v>
      </c>
      <c r="E37" s="974">
        <v>-3</v>
      </c>
      <c r="F37" s="974">
        <v>22</v>
      </c>
      <c r="G37" s="974">
        <v>17</v>
      </c>
      <c r="H37" s="974">
        <v>2900</v>
      </c>
      <c r="I37" s="974">
        <v>12</v>
      </c>
      <c r="J37" s="974">
        <v>170</v>
      </c>
      <c r="K37" s="974">
        <v>2300</v>
      </c>
      <c r="L37" s="974">
        <v>2.4</v>
      </c>
      <c r="M37" s="974">
        <v>2370</v>
      </c>
      <c r="N37" s="974">
        <v>250</v>
      </c>
      <c r="O37" s="974">
        <v>1.2</v>
      </c>
      <c r="P37" s="974">
        <v>0.4</v>
      </c>
      <c r="Q37" s="974">
        <v>0.44</v>
      </c>
      <c r="R37" s="974">
        <v>0.55000000000000004</v>
      </c>
    </row>
    <row r="38" spans="1:18" x14ac:dyDescent="0.35">
      <c r="A38" s="974" t="s">
        <v>403</v>
      </c>
      <c r="B38" s="974" t="s">
        <v>1717</v>
      </c>
      <c r="C38" s="974">
        <v>355</v>
      </c>
      <c r="D38" s="974">
        <v>-23</v>
      </c>
      <c r="E38" s="974">
        <v>-25</v>
      </c>
      <c r="F38" s="974">
        <v>34</v>
      </c>
      <c r="G38" s="974">
        <v>20</v>
      </c>
      <c r="H38" s="974">
        <v>3450</v>
      </c>
      <c r="I38" s="974">
        <v>13</v>
      </c>
      <c r="J38" s="974">
        <v>42</v>
      </c>
      <c r="K38" s="974">
        <v>225</v>
      </c>
      <c r="L38" s="974">
        <v>0.2</v>
      </c>
      <c r="M38" s="974">
        <v>275</v>
      </c>
      <c r="N38" s="974">
        <v>80</v>
      </c>
      <c r="O38" s="974">
        <v>1.8</v>
      </c>
      <c r="P38" s="974">
        <v>0.2</v>
      </c>
      <c r="Q38" s="974">
        <v>0.3</v>
      </c>
      <c r="R38" s="974">
        <v>0.4</v>
      </c>
    </row>
    <row r="39" spans="1:18" x14ac:dyDescent="0.35">
      <c r="A39" s="974" t="s">
        <v>403</v>
      </c>
      <c r="B39" s="974" t="s">
        <v>1718</v>
      </c>
      <c r="C39" s="974">
        <v>545</v>
      </c>
      <c r="D39" s="974">
        <v>-17</v>
      </c>
      <c r="E39" s="974">
        <v>-20</v>
      </c>
      <c r="F39" s="974">
        <v>30</v>
      </c>
      <c r="G39" s="974">
        <v>19</v>
      </c>
      <c r="H39" s="974">
        <v>3830</v>
      </c>
      <c r="I39" s="974">
        <v>10</v>
      </c>
      <c r="J39" s="974">
        <v>55</v>
      </c>
      <c r="K39" s="974">
        <v>660</v>
      </c>
      <c r="L39" s="974">
        <v>0.8</v>
      </c>
      <c r="M39" s="974">
        <v>850</v>
      </c>
      <c r="N39" s="974">
        <v>80</v>
      </c>
      <c r="O39" s="974">
        <v>2.8</v>
      </c>
      <c r="P39" s="974">
        <v>0.1</v>
      </c>
      <c r="Q39" s="974">
        <v>0.23</v>
      </c>
      <c r="R39" s="974">
        <v>0.31</v>
      </c>
    </row>
    <row r="40" spans="1:18" x14ac:dyDescent="0.35">
      <c r="A40" s="974" t="s">
        <v>403</v>
      </c>
      <c r="B40" s="974" t="s">
        <v>1719</v>
      </c>
      <c r="C40" s="974">
        <v>350</v>
      </c>
      <c r="D40" s="974">
        <v>-17</v>
      </c>
      <c r="E40" s="974">
        <v>-20</v>
      </c>
      <c r="F40" s="974">
        <v>33</v>
      </c>
      <c r="G40" s="974">
        <v>20</v>
      </c>
      <c r="H40" s="974">
        <v>3400</v>
      </c>
      <c r="I40" s="974">
        <v>12</v>
      </c>
      <c r="J40" s="974">
        <v>43</v>
      </c>
      <c r="K40" s="974">
        <v>260</v>
      </c>
      <c r="L40" s="974">
        <v>0.3</v>
      </c>
      <c r="M40" s="974">
        <v>325</v>
      </c>
      <c r="N40" s="974">
        <v>80</v>
      </c>
      <c r="O40" s="974">
        <v>1.7</v>
      </c>
      <c r="P40" s="974">
        <v>0.1</v>
      </c>
      <c r="Q40" s="974">
        <v>0.3</v>
      </c>
      <c r="R40" s="974">
        <v>0.4</v>
      </c>
    </row>
    <row r="41" spans="1:18" x14ac:dyDescent="0.35">
      <c r="A41" s="974" t="s">
        <v>403</v>
      </c>
      <c r="B41" s="974" t="s">
        <v>1720</v>
      </c>
      <c r="C41" s="974">
        <v>1090</v>
      </c>
      <c r="D41" s="974">
        <v>-25</v>
      </c>
      <c r="E41" s="974">
        <v>-27</v>
      </c>
      <c r="F41" s="974">
        <v>31</v>
      </c>
      <c r="G41" s="974">
        <v>18</v>
      </c>
      <c r="H41" s="974">
        <v>4650</v>
      </c>
      <c r="I41" s="974">
        <v>12</v>
      </c>
      <c r="J41" s="974">
        <v>59</v>
      </c>
      <c r="K41" s="974">
        <v>350</v>
      </c>
      <c r="L41" s="974">
        <v>0.4</v>
      </c>
      <c r="M41" s="974">
        <v>500</v>
      </c>
      <c r="N41" s="974">
        <v>100</v>
      </c>
      <c r="O41" s="974">
        <v>3</v>
      </c>
      <c r="P41" s="974">
        <v>0.2</v>
      </c>
      <c r="Q41" s="974">
        <v>0.25</v>
      </c>
      <c r="R41" s="974">
        <v>0.33</v>
      </c>
    </row>
    <row r="42" spans="1:18" x14ac:dyDescent="0.35">
      <c r="A42" s="974" t="s">
        <v>403</v>
      </c>
      <c r="B42" s="974" t="s">
        <v>1721</v>
      </c>
      <c r="C42" s="974">
        <v>15</v>
      </c>
      <c r="D42" s="974">
        <v>-16</v>
      </c>
      <c r="E42" s="974">
        <v>-18</v>
      </c>
      <c r="F42" s="974">
        <v>25</v>
      </c>
      <c r="G42" s="974">
        <v>16</v>
      </c>
      <c r="H42" s="974">
        <v>3750</v>
      </c>
      <c r="I42" s="974">
        <v>13</v>
      </c>
      <c r="J42" s="974">
        <v>193</v>
      </c>
      <c r="K42" s="974">
        <v>2100</v>
      </c>
      <c r="L42" s="974">
        <v>2.2000000000000002</v>
      </c>
      <c r="M42" s="974">
        <v>2500</v>
      </c>
      <c r="N42" s="974">
        <v>220</v>
      </c>
      <c r="O42" s="974">
        <v>5.5</v>
      </c>
      <c r="P42" s="974">
        <v>0.8</v>
      </c>
      <c r="Q42" s="974">
        <v>0.36</v>
      </c>
      <c r="R42" s="974">
        <v>0.48</v>
      </c>
    </row>
    <row r="43" spans="1:18" x14ac:dyDescent="0.35">
      <c r="A43" s="974" t="s">
        <v>403</v>
      </c>
      <c r="B43" s="974" t="s">
        <v>1722</v>
      </c>
      <c r="C43" s="974">
        <v>130</v>
      </c>
      <c r="D43" s="974">
        <v>-16</v>
      </c>
      <c r="E43" s="974">
        <v>-18</v>
      </c>
      <c r="F43" s="974">
        <v>24</v>
      </c>
      <c r="G43" s="974">
        <v>16</v>
      </c>
      <c r="H43" s="974">
        <v>3900</v>
      </c>
      <c r="I43" s="974">
        <v>13</v>
      </c>
      <c r="J43" s="974">
        <v>171</v>
      </c>
      <c r="K43" s="974">
        <v>1900</v>
      </c>
      <c r="L43" s="974">
        <v>2</v>
      </c>
      <c r="M43" s="974">
        <v>2300</v>
      </c>
      <c r="N43" s="974">
        <v>220</v>
      </c>
      <c r="O43" s="974">
        <v>6.5</v>
      </c>
      <c r="P43" s="974">
        <v>0.8</v>
      </c>
      <c r="Q43" s="974">
        <v>0.36</v>
      </c>
      <c r="R43" s="974">
        <v>0.48</v>
      </c>
    </row>
    <row r="44" spans="1:18" x14ac:dyDescent="0.35">
      <c r="A44" s="974" t="s">
        <v>403</v>
      </c>
      <c r="B44" s="974" t="s">
        <v>1723</v>
      </c>
      <c r="C44" s="974">
        <v>80</v>
      </c>
      <c r="D44" s="974">
        <v>-7</v>
      </c>
      <c r="E44" s="974">
        <v>-9</v>
      </c>
      <c r="F44" s="974">
        <v>27</v>
      </c>
      <c r="G44" s="974">
        <v>19</v>
      </c>
      <c r="H44" s="974">
        <v>2920</v>
      </c>
      <c r="I44" s="974">
        <v>8</v>
      </c>
      <c r="J44" s="974">
        <v>97</v>
      </c>
      <c r="K44" s="974">
        <v>1075</v>
      </c>
      <c r="L44" s="974">
        <v>1.2</v>
      </c>
      <c r="M44" s="974">
        <v>1160</v>
      </c>
      <c r="N44" s="974">
        <v>180</v>
      </c>
      <c r="O44" s="974">
        <v>2.4</v>
      </c>
      <c r="P44" s="974">
        <v>0.4</v>
      </c>
      <c r="Q44" s="974">
        <v>0.32</v>
      </c>
      <c r="R44" s="974">
        <v>0.4</v>
      </c>
    </row>
    <row r="45" spans="1:18" x14ac:dyDescent="0.35">
      <c r="A45" s="974" t="s">
        <v>403</v>
      </c>
      <c r="B45" s="974" t="s">
        <v>1724</v>
      </c>
      <c r="C45" s="974">
        <v>80</v>
      </c>
      <c r="D45" s="974">
        <v>-4</v>
      </c>
      <c r="E45" s="974">
        <v>-6</v>
      </c>
      <c r="F45" s="974">
        <v>27</v>
      </c>
      <c r="G45" s="974">
        <v>19</v>
      </c>
      <c r="H45" s="974">
        <v>2750</v>
      </c>
      <c r="I45" s="974">
        <v>9</v>
      </c>
      <c r="J45" s="974">
        <v>135</v>
      </c>
      <c r="K45" s="974">
        <v>1095</v>
      </c>
      <c r="L45" s="974">
        <v>1.2</v>
      </c>
      <c r="M45" s="974">
        <v>1125</v>
      </c>
      <c r="N45" s="974">
        <v>220</v>
      </c>
      <c r="O45" s="974">
        <v>1.8</v>
      </c>
      <c r="P45" s="974">
        <v>0.3</v>
      </c>
      <c r="Q45" s="974">
        <v>0.32</v>
      </c>
      <c r="R45" s="974">
        <v>0.4</v>
      </c>
    </row>
    <row r="46" spans="1:18" x14ac:dyDescent="0.35">
      <c r="A46" s="974" t="s">
        <v>403</v>
      </c>
      <c r="B46" s="974" t="s">
        <v>1725</v>
      </c>
      <c r="C46" s="974">
        <v>245</v>
      </c>
      <c r="D46" s="974">
        <v>-21</v>
      </c>
      <c r="E46" s="974">
        <v>-23</v>
      </c>
      <c r="F46" s="974">
        <v>34</v>
      </c>
      <c r="G46" s="974">
        <v>20</v>
      </c>
      <c r="H46" s="974">
        <v>3400</v>
      </c>
      <c r="I46" s="974">
        <v>10</v>
      </c>
      <c r="J46" s="974">
        <v>70</v>
      </c>
      <c r="K46" s="974">
        <v>300</v>
      </c>
      <c r="L46" s="974">
        <v>0.3</v>
      </c>
      <c r="M46" s="974">
        <v>350</v>
      </c>
      <c r="N46" s="974">
        <v>100</v>
      </c>
      <c r="O46" s="974">
        <v>2.1</v>
      </c>
      <c r="P46" s="974">
        <v>0.1</v>
      </c>
      <c r="Q46" s="974">
        <v>0.33</v>
      </c>
      <c r="R46" s="974">
        <v>0.44</v>
      </c>
    </row>
    <row r="47" spans="1:18" x14ac:dyDescent="0.35">
      <c r="A47" s="974" t="s">
        <v>403</v>
      </c>
      <c r="B47" s="974" t="s">
        <v>1726</v>
      </c>
      <c r="C47" s="974">
        <v>325</v>
      </c>
      <c r="D47" s="974">
        <v>-17</v>
      </c>
      <c r="E47" s="974">
        <v>-20</v>
      </c>
      <c r="F47" s="974">
        <v>35</v>
      </c>
      <c r="G47" s="974">
        <v>20</v>
      </c>
      <c r="H47" s="974">
        <v>3300</v>
      </c>
      <c r="I47" s="974">
        <v>10</v>
      </c>
      <c r="J47" s="974">
        <v>70</v>
      </c>
      <c r="K47" s="974">
        <v>330</v>
      </c>
      <c r="L47" s="974">
        <v>0.3</v>
      </c>
      <c r="M47" s="974">
        <v>425</v>
      </c>
      <c r="N47" s="974">
        <v>80</v>
      </c>
      <c r="O47" s="974">
        <v>2.8</v>
      </c>
      <c r="P47" s="974">
        <v>0.3</v>
      </c>
      <c r="Q47" s="974">
        <v>0.32</v>
      </c>
      <c r="R47" s="974">
        <v>0.43</v>
      </c>
    </row>
    <row r="48" spans="1:18" x14ac:dyDescent="0.35">
      <c r="A48" s="974" t="s">
        <v>403</v>
      </c>
      <c r="B48" s="974" t="s">
        <v>1727</v>
      </c>
      <c r="C48" s="974">
        <v>765</v>
      </c>
      <c r="D48" s="974">
        <v>-34</v>
      </c>
      <c r="E48" s="974">
        <v>-38</v>
      </c>
      <c r="F48" s="974">
        <v>27</v>
      </c>
      <c r="G48" s="974">
        <v>17</v>
      </c>
      <c r="H48" s="974">
        <v>5550</v>
      </c>
      <c r="I48" s="974">
        <v>10</v>
      </c>
      <c r="J48" s="974">
        <v>50</v>
      </c>
      <c r="K48" s="974">
        <v>350</v>
      </c>
      <c r="L48" s="974">
        <v>0.5</v>
      </c>
      <c r="M48" s="974">
        <v>650</v>
      </c>
      <c r="N48" s="974">
        <v>60</v>
      </c>
      <c r="O48" s="974">
        <v>5.0999999999999996</v>
      </c>
      <c r="P48" s="974">
        <v>0.2</v>
      </c>
      <c r="Q48" s="974">
        <v>0.25</v>
      </c>
      <c r="R48" s="974">
        <v>0.32</v>
      </c>
    </row>
    <row r="49" spans="1:18" x14ac:dyDescent="0.35">
      <c r="A49" s="974" t="s">
        <v>403</v>
      </c>
      <c r="B49" s="974" t="s">
        <v>1728</v>
      </c>
      <c r="C49" s="974">
        <v>10</v>
      </c>
      <c r="D49" s="974">
        <v>-5</v>
      </c>
      <c r="E49" s="974">
        <v>-7</v>
      </c>
      <c r="F49" s="974">
        <v>17</v>
      </c>
      <c r="G49" s="974">
        <v>15</v>
      </c>
      <c r="H49" s="974">
        <v>3700</v>
      </c>
      <c r="I49" s="974">
        <v>13</v>
      </c>
      <c r="J49" s="974">
        <v>80</v>
      </c>
      <c r="K49" s="974">
        <v>1350</v>
      </c>
      <c r="L49" s="974">
        <v>1.5</v>
      </c>
      <c r="M49" s="974">
        <v>1400</v>
      </c>
      <c r="N49" s="974">
        <v>400</v>
      </c>
      <c r="O49" s="974">
        <v>1.8</v>
      </c>
      <c r="P49" s="974">
        <v>0.4</v>
      </c>
      <c r="Q49" s="974">
        <v>0.5</v>
      </c>
      <c r="R49" s="974">
        <v>0.61</v>
      </c>
    </row>
    <row r="50" spans="1:18" x14ac:dyDescent="0.35">
      <c r="A50" s="974" t="s">
        <v>403</v>
      </c>
      <c r="B50" s="974" t="s">
        <v>1729</v>
      </c>
      <c r="C50" s="974">
        <v>730</v>
      </c>
      <c r="D50" s="974">
        <v>-29</v>
      </c>
      <c r="E50" s="974">
        <v>-32</v>
      </c>
      <c r="F50" s="974">
        <v>29</v>
      </c>
      <c r="G50" s="974">
        <v>18</v>
      </c>
      <c r="H50" s="974">
        <v>4980</v>
      </c>
      <c r="I50" s="974">
        <v>13</v>
      </c>
      <c r="J50" s="974">
        <v>54</v>
      </c>
      <c r="K50" s="974">
        <v>475</v>
      </c>
      <c r="L50" s="974">
        <v>0.6</v>
      </c>
      <c r="M50" s="974">
        <v>650</v>
      </c>
      <c r="N50" s="974">
        <v>60</v>
      </c>
      <c r="O50" s="974">
        <v>4.3</v>
      </c>
      <c r="P50" s="974">
        <v>0.2</v>
      </c>
      <c r="Q50" s="974">
        <v>0.27</v>
      </c>
      <c r="R50" s="974">
        <v>0.35</v>
      </c>
    </row>
    <row r="51" spans="1:18" x14ac:dyDescent="0.35">
      <c r="A51" s="974" t="s">
        <v>403</v>
      </c>
      <c r="B51" s="974" t="s">
        <v>1730</v>
      </c>
      <c r="C51" s="974">
        <v>695</v>
      </c>
      <c r="D51" s="974">
        <v>-35</v>
      </c>
      <c r="E51" s="974">
        <v>-37</v>
      </c>
      <c r="F51" s="974">
        <v>27</v>
      </c>
      <c r="G51" s="974">
        <v>17</v>
      </c>
      <c r="H51" s="974">
        <v>5450</v>
      </c>
      <c r="I51" s="974">
        <v>10</v>
      </c>
      <c r="J51" s="974">
        <v>50</v>
      </c>
      <c r="K51" s="974">
        <v>350</v>
      </c>
      <c r="L51" s="974">
        <v>0.5</v>
      </c>
      <c r="M51" s="974">
        <v>650</v>
      </c>
      <c r="N51" s="974">
        <v>60</v>
      </c>
      <c r="O51" s="974">
        <v>4.0999999999999996</v>
      </c>
      <c r="P51" s="974">
        <v>0.2</v>
      </c>
      <c r="Q51" s="974">
        <v>0.25</v>
      </c>
      <c r="R51" s="974">
        <v>0.32</v>
      </c>
    </row>
    <row r="52" spans="1:18" x14ac:dyDescent="0.35">
      <c r="A52" s="974" t="s">
        <v>403</v>
      </c>
      <c r="B52" s="974" t="s">
        <v>1731</v>
      </c>
      <c r="C52" s="974">
        <v>570</v>
      </c>
      <c r="D52" s="974">
        <v>-24</v>
      </c>
      <c r="E52" s="974">
        <v>-27</v>
      </c>
      <c r="F52" s="974">
        <v>34</v>
      </c>
      <c r="G52" s="974">
        <v>20</v>
      </c>
      <c r="H52" s="974">
        <v>3900</v>
      </c>
      <c r="I52" s="974">
        <v>8</v>
      </c>
      <c r="J52" s="974">
        <v>54</v>
      </c>
      <c r="K52" s="974">
        <v>240</v>
      </c>
      <c r="L52" s="974">
        <v>0.2</v>
      </c>
      <c r="M52" s="974">
        <v>310</v>
      </c>
      <c r="N52" s="974">
        <v>80</v>
      </c>
      <c r="O52" s="974">
        <v>1.8</v>
      </c>
      <c r="P52" s="974">
        <v>0.3</v>
      </c>
      <c r="Q52" s="974">
        <v>0.33</v>
      </c>
      <c r="R52" s="974">
        <v>0.44</v>
      </c>
    </row>
    <row r="53" spans="1:18" x14ac:dyDescent="0.35">
      <c r="A53" s="974" t="s">
        <v>403</v>
      </c>
      <c r="B53" s="974" t="s">
        <v>1732</v>
      </c>
      <c r="C53" s="974">
        <v>45</v>
      </c>
      <c r="D53" s="974">
        <v>-9</v>
      </c>
      <c r="E53" s="974">
        <v>-11</v>
      </c>
      <c r="F53" s="974">
        <v>30</v>
      </c>
      <c r="G53" s="974">
        <v>20</v>
      </c>
      <c r="H53" s="974">
        <v>2850</v>
      </c>
      <c r="I53" s="974">
        <v>13</v>
      </c>
      <c r="J53" s="974">
        <v>123</v>
      </c>
      <c r="K53" s="974">
        <v>1650</v>
      </c>
      <c r="L53" s="974">
        <v>1.7</v>
      </c>
      <c r="M53" s="974">
        <v>1700</v>
      </c>
      <c r="N53" s="974">
        <v>160</v>
      </c>
      <c r="O53" s="974">
        <v>2.4</v>
      </c>
      <c r="P53" s="974">
        <v>0.3</v>
      </c>
      <c r="Q53" s="974">
        <v>0.32</v>
      </c>
      <c r="R53" s="974">
        <v>0.43</v>
      </c>
    </row>
    <row r="54" spans="1:18" x14ac:dyDescent="0.35">
      <c r="A54" s="974" t="s">
        <v>403</v>
      </c>
      <c r="B54" s="974" t="s">
        <v>1733</v>
      </c>
      <c r="C54" s="974">
        <v>615</v>
      </c>
      <c r="D54" s="974">
        <v>-16</v>
      </c>
      <c r="E54" s="974">
        <v>-18</v>
      </c>
      <c r="F54" s="974">
        <v>32</v>
      </c>
      <c r="G54" s="974">
        <v>20</v>
      </c>
      <c r="H54" s="974">
        <v>3600</v>
      </c>
      <c r="I54" s="974">
        <v>10</v>
      </c>
      <c r="J54" s="974">
        <v>54</v>
      </c>
      <c r="K54" s="974">
        <v>480</v>
      </c>
      <c r="L54" s="974">
        <v>0.6</v>
      </c>
      <c r="M54" s="974">
        <v>700</v>
      </c>
      <c r="N54" s="974">
        <v>60</v>
      </c>
      <c r="O54" s="974">
        <v>4.0999999999999996</v>
      </c>
      <c r="P54" s="974">
        <v>0.1</v>
      </c>
      <c r="Q54" s="974">
        <v>0.26</v>
      </c>
      <c r="R54" s="974">
        <v>0.35</v>
      </c>
    </row>
    <row r="55" spans="1:18" x14ac:dyDescent="0.35">
      <c r="A55" s="974" t="s">
        <v>403</v>
      </c>
      <c r="B55" s="974" t="s">
        <v>1734</v>
      </c>
      <c r="C55" s="974">
        <v>445</v>
      </c>
      <c r="D55" s="974">
        <v>-20</v>
      </c>
      <c r="E55" s="974">
        <v>-22</v>
      </c>
      <c r="F55" s="974">
        <v>31</v>
      </c>
      <c r="G55" s="974">
        <v>20</v>
      </c>
      <c r="H55" s="974">
        <v>3560</v>
      </c>
      <c r="I55" s="974">
        <v>10</v>
      </c>
      <c r="J55" s="974">
        <v>60</v>
      </c>
      <c r="K55" s="974">
        <v>650</v>
      </c>
      <c r="L55" s="974">
        <v>0.8</v>
      </c>
      <c r="M55" s="974">
        <v>850</v>
      </c>
      <c r="N55" s="974">
        <v>60</v>
      </c>
      <c r="O55" s="974">
        <v>4.4000000000000004</v>
      </c>
      <c r="P55" s="974">
        <v>0.1</v>
      </c>
      <c r="Q55" s="974">
        <v>0.25</v>
      </c>
      <c r="R55" s="974">
        <v>0.33</v>
      </c>
    </row>
    <row r="56" spans="1:18" x14ac:dyDescent="0.35">
      <c r="A56" s="974" t="s">
        <v>403</v>
      </c>
      <c r="B56" s="974" t="s">
        <v>1735</v>
      </c>
      <c r="C56" s="974">
        <v>15</v>
      </c>
      <c r="D56" s="974">
        <v>-6</v>
      </c>
      <c r="E56" s="974">
        <v>-8</v>
      </c>
      <c r="F56" s="974">
        <v>27</v>
      </c>
      <c r="G56" s="974">
        <v>19</v>
      </c>
      <c r="H56" s="974">
        <v>2920</v>
      </c>
      <c r="I56" s="974">
        <v>10</v>
      </c>
      <c r="J56" s="974">
        <v>91</v>
      </c>
      <c r="K56" s="974">
        <v>1000</v>
      </c>
      <c r="L56" s="974">
        <v>1.1000000000000001</v>
      </c>
      <c r="M56" s="974">
        <v>1050</v>
      </c>
      <c r="N56" s="974">
        <v>200</v>
      </c>
      <c r="O56" s="974">
        <v>2.1</v>
      </c>
      <c r="P56" s="974">
        <v>0.4</v>
      </c>
      <c r="Q56" s="974">
        <v>0.38</v>
      </c>
      <c r="R56" s="974">
        <v>0.48</v>
      </c>
    </row>
    <row r="57" spans="1:18" x14ac:dyDescent="0.35">
      <c r="A57" s="974" t="s">
        <v>403</v>
      </c>
      <c r="B57" s="974" t="s">
        <v>1736</v>
      </c>
      <c r="C57" s="974">
        <v>600</v>
      </c>
      <c r="D57" s="974">
        <v>-18</v>
      </c>
      <c r="E57" s="974">
        <v>-20</v>
      </c>
      <c r="F57" s="974">
        <v>31</v>
      </c>
      <c r="G57" s="974">
        <v>20</v>
      </c>
      <c r="H57" s="974">
        <v>3500</v>
      </c>
      <c r="I57" s="974">
        <v>10</v>
      </c>
      <c r="J57" s="974">
        <v>59</v>
      </c>
      <c r="K57" s="974">
        <v>460</v>
      </c>
      <c r="L57" s="974">
        <v>0.6</v>
      </c>
      <c r="M57" s="974">
        <v>700</v>
      </c>
      <c r="N57" s="974">
        <v>60</v>
      </c>
      <c r="O57" s="974">
        <v>4.2</v>
      </c>
      <c r="P57" s="974">
        <v>0.1</v>
      </c>
      <c r="Q57" s="974">
        <v>0.25</v>
      </c>
      <c r="R57" s="974">
        <v>0.33</v>
      </c>
    </row>
    <row r="58" spans="1:18" x14ac:dyDescent="0.35">
      <c r="A58" s="974" t="s">
        <v>403</v>
      </c>
      <c r="B58" s="974" t="s">
        <v>1737</v>
      </c>
      <c r="C58" s="974">
        <v>10</v>
      </c>
      <c r="D58" s="974">
        <v>-10</v>
      </c>
      <c r="E58" s="974">
        <v>-12</v>
      </c>
      <c r="F58" s="974">
        <v>23</v>
      </c>
      <c r="G58" s="974">
        <v>17</v>
      </c>
      <c r="H58" s="974">
        <v>3400</v>
      </c>
      <c r="I58" s="974">
        <v>13</v>
      </c>
      <c r="J58" s="974">
        <v>260</v>
      </c>
      <c r="K58" s="974">
        <v>4150</v>
      </c>
      <c r="L58" s="974">
        <v>4.2</v>
      </c>
      <c r="M58" s="974">
        <v>4300</v>
      </c>
      <c r="N58" s="974">
        <v>350</v>
      </c>
      <c r="O58" s="974">
        <v>3.9</v>
      </c>
      <c r="P58" s="974">
        <v>0.8</v>
      </c>
      <c r="Q58" s="974">
        <v>0.44</v>
      </c>
      <c r="R58" s="974">
        <v>0.59</v>
      </c>
    </row>
    <row r="59" spans="1:18" x14ac:dyDescent="0.35">
      <c r="A59" s="974" t="s">
        <v>403</v>
      </c>
      <c r="B59" s="974" t="s">
        <v>1738</v>
      </c>
      <c r="C59" s="974">
        <v>285</v>
      </c>
      <c r="D59" s="974">
        <v>-14</v>
      </c>
      <c r="E59" s="974">
        <v>-17</v>
      </c>
      <c r="F59" s="974">
        <v>35</v>
      </c>
      <c r="G59" s="974">
        <v>21</v>
      </c>
      <c r="H59" s="974">
        <v>3100</v>
      </c>
      <c r="I59" s="974">
        <v>10</v>
      </c>
      <c r="J59" s="974">
        <v>48</v>
      </c>
      <c r="K59" s="974">
        <v>275</v>
      </c>
      <c r="L59" s="974">
        <v>0.3</v>
      </c>
      <c r="M59" s="974">
        <v>310</v>
      </c>
      <c r="N59" s="974">
        <v>60</v>
      </c>
      <c r="O59" s="974">
        <v>1.1000000000000001</v>
      </c>
      <c r="P59" s="974">
        <v>0.1</v>
      </c>
      <c r="Q59" s="974">
        <v>0.3</v>
      </c>
      <c r="R59" s="974">
        <v>0.4</v>
      </c>
    </row>
    <row r="60" spans="1:18" x14ac:dyDescent="0.35">
      <c r="A60" s="974" t="s">
        <v>403</v>
      </c>
      <c r="B60" s="974" t="s">
        <v>1739</v>
      </c>
      <c r="C60" s="974">
        <v>40</v>
      </c>
      <c r="D60" s="974">
        <v>-6</v>
      </c>
      <c r="E60" s="974">
        <v>-8</v>
      </c>
      <c r="F60" s="974">
        <v>26</v>
      </c>
      <c r="G60" s="974">
        <v>19</v>
      </c>
      <c r="H60" s="974">
        <v>2990</v>
      </c>
      <c r="I60" s="974">
        <v>10</v>
      </c>
      <c r="J60" s="974">
        <v>91</v>
      </c>
      <c r="K60" s="974">
        <v>1200</v>
      </c>
      <c r="L60" s="974">
        <v>1.3</v>
      </c>
      <c r="M60" s="974">
        <v>1250</v>
      </c>
      <c r="N60" s="974">
        <v>200</v>
      </c>
      <c r="O60" s="974">
        <v>2</v>
      </c>
      <c r="P60" s="974">
        <v>0.4</v>
      </c>
      <c r="Q60" s="974">
        <v>0.4</v>
      </c>
      <c r="R60" s="974">
        <v>0.48</v>
      </c>
    </row>
    <row r="61" spans="1:18" x14ac:dyDescent="0.35">
      <c r="A61" s="974" t="s">
        <v>403</v>
      </c>
      <c r="B61" s="974" t="s">
        <v>1740</v>
      </c>
      <c r="C61" s="974">
        <v>350</v>
      </c>
      <c r="D61" s="974">
        <v>-15</v>
      </c>
      <c r="E61" s="974">
        <v>-17</v>
      </c>
      <c r="F61" s="974">
        <v>33</v>
      </c>
      <c r="G61" s="974">
        <v>20</v>
      </c>
      <c r="H61" s="974">
        <v>3350</v>
      </c>
      <c r="I61" s="974">
        <v>10</v>
      </c>
      <c r="J61" s="974">
        <v>48</v>
      </c>
      <c r="K61" s="974">
        <v>275</v>
      </c>
      <c r="L61" s="974">
        <v>0.3</v>
      </c>
      <c r="M61" s="974">
        <v>300</v>
      </c>
      <c r="N61" s="974">
        <v>60</v>
      </c>
      <c r="O61" s="974">
        <v>1.3</v>
      </c>
      <c r="P61" s="974">
        <v>0.1</v>
      </c>
      <c r="Q61" s="974">
        <v>0.3</v>
      </c>
      <c r="R61" s="974">
        <v>0.4</v>
      </c>
    </row>
    <row r="62" spans="1:18" x14ac:dyDescent="0.35">
      <c r="A62" s="974" t="s">
        <v>403</v>
      </c>
      <c r="B62" s="974" t="s">
        <v>1741</v>
      </c>
      <c r="C62" s="974">
        <v>15</v>
      </c>
      <c r="D62" s="974">
        <v>-5</v>
      </c>
      <c r="E62" s="974">
        <v>-8</v>
      </c>
      <c r="F62" s="974">
        <v>31</v>
      </c>
      <c r="G62" s="974">
        <v>19</v>
      </c>
      <c r="H62" s="974">
        <v>3100</v>
      </c>
      <c r="I62" s="974">
        <v>10</v>
      </c>
      <c r="J62" s="974">
        <v>161</v>
      </c>
      <c r="K62" s="974">
        <v>1900</v>
      </c>
      <c r="L62" s="974">
        <v>2</v>
      </c>
      <c r="M62" s="974">
        <v>2000</v>
      </c>
      <c r="N62" s="974">
        <v>240</v>
      </c>
      <c r="O62" s="974">
        <v>2.6</v>
      </c>
      <c r="P62" s="974">
        <v>0.4</v>
      </c>
      <c r="Q62" s="974">
        <v>0.24</v>
      </c>
      <c r="R62" s="974">
        <v>0.32</v>
      </c>
    </row>
    <row r="63" spans="1:18" x14ac:dyDescent="0.35">
      <c r="A63" s="974" t="s">
        <v>403</v>
      </c>
      <c r="B63" s="974" t="s">
        <v>1742</v>
      </c>
      <c r="C63" s="974">
        <v>25</v>
      </c>
      <c r="D63" s="974">
        <v>-3</v>
      </c>
      <c r="E63" s="974">
        <v>-6</v>
      </c>
      <c r="F63" s="974">
        <v>26</v>
      </c>
      <c r="G63" s="974">
        <v>17</v>
      </c>
      <c r="H63" s="974">
        <v>3010</v>
      </c>
      <c r="I63" s="974">
        <v>13</v>
      </c>
      <c r="J63" s="974">
        <v>200</v>
      </c>
      <c r="K63" s="974">
        <v>3300</v>
      </c>
      <c r="L63" s="974">
        <v>3.4</v>
      </c>
      <c r="M63" s="974">
        <v>3340</v>
      </c>
      <c r="N63" s="974">
        <v>220</v>
      </c>
      <c r="O63" s="974">
        <v>1.1000000000000001</v>
      </c>
      <c r="P63" s="974">
        <v>0.4</v>
      </c>
      <c r="Q63" s="974">
        <v>0.24</v>
      </c>
      <c r="R63" s="974">
        <v>0.32</v>
      </c>
    </row>
    <row r="64" spans="1:18" x14ac:dyDescent="0.35">
      <c r="A64" s="974" t="s">
        <v>403</v>
      </c>
      <c r="B64" s="974" t="s">
        <v>1743</v>
      </c>
      <c r="C64" s="974">
        <v>5</v>
      </c>
      <c r="D64" s="974">
        <v>-5</v>
      </c>
      <c r="E64" s="974">
        <v>-7</v>
      </c>
      <c r="F64" s="974">
        <v>20</v>
      </c>
      <c r="G64" s="974">
        <v>16</v>
      </c>
      <c r="H64" s="974">
        <v>3440</v>
      </c>
      <c r="I64" s="974">
        <v>13</v>
      </c>
      <c r="J64" s="974">
        <v>150</v>
      </c>
      <c r="K64" s="974">
        <v>1775</v>
      </c>
      <c r="L64" s="974">
        <v>1.9</v>
      </c>
      <c r="M64" s="974">
        <v>1850</v>
      </c>
      <c r="N64" s="974">
        <v>220</v>
      </c>
      <c r="O64" s="974">
        <v>0.9</v>
      </c>
      <c r="P64" s="974">
        <v>0.4</v>
      </c>
      <c r="Q64" s="974">
        <v>0.36</v>
      </c>
      <c r="R64" s="974">
        <v>0.48</v>
      </c>
    </row>
    <row r="65" spans="1:18" x14ac:dyDescent="0.35">
      <c r="A65" s="974" t="s">
        <v>403</v>
      </c>
      <c r="B65" s="974" t="s">
        <v>1744</v>
      </c>
      <c r="C65" s="974">
        <v>5</v>
      </c>
      <c r="D65" s="974">
        <v>-5</v>
      </c>
      <c r="E65" s="974">
        <v>-7</v>
      </c>
      <c r="F65" s="974">
        <v>22</v>
      </c>
      <c r="G65" s="974">
        <v>17</v>
      </c>
      <c r="H65" s="974">
        <v>3410</v>
      </c>
      <c r="I65" s="974">
        <v>13</v>
      </c>
      <c r="J65" s="974">
        <v>128</v>
      </c>
      <c r="K65" s="974">
        <v>1750</v>
      </c>
      <c r="L65" s="974">
        <v>1.9</v>
      </c>
      <c r="M65" s="974">
        <v>1850</v>
      </c>
      <c r="N65" s="974">
        <v>260</v>
      </c>
      <c r="O65" s="974">
        <v>1.1000000000000001</v>
      </c>
      <c r="P65" s="974">
        <v>0.4</v>
      </c>
      <c r="Q65" s="974">
        <v>0.36</v>
      </c>
      <c r="R65" s="974">
        <v>0.48</v>
      </c>
    </row>
    <row r="66" spans="1:18" x14ac:dyDescent="0.35">
      <c r="A66" s="974" t="s">
        <v>403</v>
      </c>
      <c r="B66" s="974" t="s">
        <v>1745</v>
      </c>
      <c r="C66" s="974">
        <v>20</v>
      </c>
      <c r="D66" s="974">
        <v>-3</v>
      </c>
      <c r="E66" s="974">
        <v>-5</v>
      </c>
      <c r="F66" s="974">
        <v>24</v>
      </c>
      <c r="G66" s="974">
        <v>17</v>
      </c>
      <c r="H66" s="974">
        <v>2900</v>
      </c>
      <c r="I66" s="974">
        <v>13</v>
      </c>
      <c r="J66" s="974">
        <v>200</v>
      </c>
      <c r="K66" s="974">
        <v>3600</v>
      </c>
      <c r="L66" s="974">
        <v>3.6</v>
      </c>
      <c r="M66" s="974">
        <v>3675</v>
      </c>
      <c r="N66" s="974">
        <v>270</v>
      </c>
      <c r="O66" s="974">
        <v>1.1000000000000001</v>
      </c>
      <c r="P66" s="974">
        <v>0.4</v>
      </c>
      <c r="Q66" s="974">
        <v>0.42</v>
      </c>
      <c r="R66" s="974">
        <v>0.52</v>
      </c>
    </row>
    <row r="67" spans="1:18" x14ac:dyDescent="0.35">
      <c r="A67" s="974" t="s">
        <v>403</v>
      </c>
      <c r="B67" s="974" t="s">
        <v>1746</v>
      </c>
      <c r="C67" s="974">
        <v>10</v>
      </c>
      <c r="D67" s="974">
        <v>-7</v>
      </c>
      <c r="E67" s="974">
        <v>-9</v>
      </c>
      <c r="F67" s="974">
        <v>26</v>
      </c>
      <c r="G67" s="974">
        <v>18</v>
      </c>
      <c r="H67" s="974">
        <v>3100</v>
      </c>
      <c r="I67" s="974">
        <v>10</v>
      </c>
      <c r="J67" s="974">
        <v>80</v>
      </c>
      <c r="K67" s="974">
        <v>1150</v>
      </c>
      <c r="L67" s="974">
        <v>1.3</v>
      </c>
      <c r="M67" s="974">
        <v>1200</v>
      </c>
      <c r="N67" s="974">
        <v>220</v>
      </c>
      <c r="O67" s="974">
        <v>1.7</v>
      </c>
      <c r="P67" s="974">
        <v>0.4</v>
      </c>
      <c r="Q67" s="974">
        <v>0.39</v>
      </c>
      <c r="R67" s="974">
        <v>0.48</v>
      </c>
    </row>
    <row r="68" spans="1:18" x14ac:dyDescent="0.35">
      <c r="A68" s="974" t="s">
        <v>403</v>
      </c>
      <c r="B68" s="974" t="s">
        <v>1747</v>
      </c>
      <c r="C68" s="974">
        <v>580</v>
      </c>
      <c r="D68" s="974">
        <v>-32</v>
      </c>
      <c r="E68" s="974">
        <v>-36</v>
      </c>
      <c r="F68" s="974">
        <v>28</v>
      </c>
      <c r="G68" s="974">
        <v>18</v>
      </c>
      <c r="H68" s="974">
        <v>4720</v>
      </c>
      <c r="I68" s="974">
        <v>15</v>
      </c>
      <c r="J68" s="974">
        <v>54</v>
      </c>
      <c r="K68" s="974">
        <v>425</v>
      </c>
      <c r="L68" s="974">
        <v>0.6</v>
      </c>
      <c r="M68" s="974">
        <v>600</v>
      </c>
      <c r="N68" s="974">
        <v>80</v>
      </c>
      <c r="O68" s="974">
        <v>3.4</v>
      </c>
      <c r="P68" s="974">
        <v>0.2</v>
      </c>
      <c r="Q68" s="974">
        <v>0.28000000000000003</v>
      </c>
      <c r="R68" s="974">
        <v>0.37</v>
      </c>
    </row>
    <row r="69" spans="1:18" x14ac:dyDescent="0.35">
      <c r="A69" s="974" t="s">
        <v>403</v>
      </c>
      <c r="B69" s="974" t="s">
        <v>1748</v>
      </c>
      <c r="C69" s="974">
        <v>20</v>
      </c>
      <c r="D69" s="974">
        <v>-13</v>
      </c>
      <c r="E69" s="974">
        <v>-15</v>
      </c>
      <c r="F69" s="974">
        <v>19</v>
      </c>
      <c r="G69" s="974">
        <v>15</v>
      </c>
      <c r="H69" s="974">
        <v>3900</v>
      </c>
      <c r="I69" s="974">
        <v>13</v>
      </c>
      <c r="J69" s="974">
        <v>160</v>
      </c>
      <c r="K69" s="974">
        <v>2750</v>
      </c>
      <c r="L69" s="974">
        <v>2.8</v>
      </c>
      <c r="M69" s="974">
        <v>2900</v>
      </c>
      <c r="N69" s="974">
        <v>240</v>
      </c>
      <c r="O69" s="974">
        <v>1.9</v>
      </c>
      <c r="P69" s="974">
        <v>0.4</v>
      </c>
      <c r="Q69" s="974">
        <v>0.43</v>
      </c>
      <c r="R69" s="974">
        <v>0.54</v>
      </c>
    </row>
    <row r="70" spans="1:18" x14ac:dyDescent="0.35">
      <c r="A70" s="974" t="s">
        <v>403</v>
      </c>
      <c r="B70" s="974" t="s">
        <v>1749</v>
      </c>
      <c r="C70" s="974">
        <v>655</v>
      </c>
      <c r="D70" s="974">
        <v>-24</v>
      </c>
      <c r="E70" s="974">
        <v>-29</v>
      </c>
      <c r="F70" s="974">
        <v>33</v>
      </c>
      <c r="G70" s="974">
        <v>19</v>
      </c>
      <c r="H70" s="974">
        <v>4250</v>
      </c>
      <c r="I70" s="974">
        <v>10</v>
      </c>
      <c r="J70" s="974">
        <v>43</v>
      </c>
      <c r="K70" s="974">
        <v>235</v>
      </c>
      <c r="L70" s="974">
        <v>0.4</v>
      </c>
      <c r="M70" s="974">
        <v>350</v>
      </c>
      <c r="N70" s="974">
        <v>80</v>
      </c>
      <c r="O70" s="974">
        <v>2.9</v>
      </c>
      <c r="P70" s="974">
        <v>0.6</v>
      </c>
      <c r="Q70" s="974">
        <v>0.27</v>
      </c>
      <c r="R70" s="974">
        <v>0.36</v>
      </c>
    </row>
    <row r="71" spans="1:18" x14ac:dyDescent="0.35">
      <c r="A71" s="974" t="s">
        <v>403</v>
      </c>
      <c r="B71" s="974" t="s">
        <v>1750</v>
      </c>
      <c r="C71" s="974">
        <v>10</v>
      </c>
      <c r="D71" s="974">
        <v>-7</v>
      </c>
      <c r="E71" s="974">
        <v>-9</v>
      </c>
      <c r="F71" s="974">
        <v>27</v>
      </c>
      <c r="G71" s="974">
        <v>19</v>
      </c>
      <c r="H71" s="974">
        <v>2990</v>
      </c>
      <c r="I71" s="974">
        <v>10</v>
      </c>
      <c r="J71" s="974">
        <v>96</v>
      </c>
      <c r="K71" s="974">
        <v>1200</v>
      </c>
      <c r="L71" s="974">
        <v>1.3</v>
      </c>
      <c r="M71" s="974">
        <v>1250</v>
      </c>
      <c r="N71" s="974">
        <v>200</v>
      </c>
      <c r="O71" s="974">
        <v>2</v>
      </c>
      <c r="P71" s="974">
        <v>0.4</v>
      </c>
      <c r="Q71" s="974">
        <v>0.41</v>
      </c>
      <c r="R71" s="974">
        <v>0.48</v>
      </c>
    </row>
    <row r="72" spans="1:18" x14ac:dyDescent="0.35">
      <c r="A72" s="974" t="s">
        <v>403</v>
      </c>
      <c r="B72" s="974" t="s">
        <v>1751</v>
      </c>
      <c r="C72" s="974">
        <v>35</v>
      </c>
      <c r="D72" s="974">
        <v>-6</v>
      </c>
      <c r="E72" s="974">
        <v>-8</v>
      </c>
      <c r="F72" s="974">
        <v>21</v>
      </c>
      <c r="G72" s="974">
        <v>16</v>
      </c>
      <c r="H72" s="974">
        <v>3520</v>
      </c>
      <c r="I72" s="974">
        <v>13</v>
      </c>
      <c r="J72" s="974">
        <v>110</v>
      </c>
      <c r="K72" s="974">
        <v>1300</v>
      </c>
      <c r="L72" s="974">
        <v>1.5</v>
      </c>
      <c r="M72" s="974">
        <v>1350</v>
      </c>
      <c r="N72" s="974">
        <v>360</v>
      </c>
      <c r="O72" s="974">
        <v>1.8</v>
      </c>
      <c r="P72" s="974">
        <v>0.4</v>
      </c>
      <c r="Q72" s="974">
        <v>0.5</v>
      </c>
      <c r="R72" s="974">
        <v>0.61</v>
      </c>
    </row>
    <row r="73" spans="1:18" x14ac:dyDescent="0.35">
      <c r="A73" s="974" t="s">
        <v>403</v>
      </c>
      <c r="B73" s="974" t="s">
        <v>1752</v>
      </c>
      <c r="C73" s="974">
        <v>475</v>
      </c>
      <c r="D73" s="974">
        <v>-31</v>
      </c>
      <c r="E73" s="974">
        <v>-33</v>
      </c>
      <c r="F73" s="974">
        <v>30</v>
      </c>
      <c r="G73" s="974">
        <v>17</v>
      </c>
      <c r="H73" s="974">
        <v>4650</v>
      </c>
      <c r="I73" s="974">
        <v>10</v>
      </c>
      <c r="J73" s="974">
        <v>50</v>
      </c>
      <c r="K73" s="974">
        <v>380</v>
      </c>
      <c r="L73" s="974">
        <v>0.5</v>
      </c>
      <c r="M73" s="974">
        <v>525</v>
      </c>
      <c r="N73" s="974">
        <v>80</v>
      </c>
      <c r="O73" s="974">
        <v>3</v>
      </c>
      <c r="P73" s="974">
        <v>0.1</v>
      </c>
      <c r="Q73" s="974">
        <v>0.24</v>
      </c>
      <c r="R73" s="974">
        <v>0.31</v>
      </c>
    </row>
    <row r="74" spans="1:18" x14ac:dyDescent="0.35">
      <c r="A74" s="974" t="s">
        <v>403</v>
      </c>
      <c r="B74" s="974" t="s">
        <v>1753</v>
      </c>
      <c r="C74" s="974">
        <v>440</v>
      </c>
      <c r="D74" s="974">
        <v>-20</v>
      </c>
      <c r="E74" s="974">
        <v>-23</v>
      </c>
      <c r="F74" s="974">
        <v>31</v>
      </c>
      <c r="G74" s="974">
        <v>19</v>
      </c>
      <c r="H74" s="974">
        <v>4000</v>
      </c>
      <c r="I74" s="974">
        <v>13</v>
      </c>
      <c r="J74" s="974">
        <v>55</v>
      </c>
      <c r="K74" s="974">
        <v>625</v>
      </c>
      <c r="L74" s="974">
        <v>0.8</v>
      </c>
      <c r="M74" s="974">
        <v>950</v>
      </c>
      <c r="N74" s="974">
        <v>80</v>
      </c>
      <c r="O74" s="974">
        <v>7.2</v>
      </c>
      <c r="P74" s="974">
        <v>0.1</v>
      </c>
      <c r="Q74" s="974">
        <v>0.24</v>
      </c>
      <c r="R74" s="974">
        <v>0.32</v>
      </c>
    </row>
    <row r="75" spans="1:18" x14ac:dyDescent="0.35">
      <c r="A75" s="974" t="s">
        <v>403</v>
      </c>
      <c r="B75" s="974" t="s">
        <v>1754</v>
      </c>
      <c r="C75" s="974">
        <v>425</v>
      </c>
      <c r="D75" s="974">
        <v>-19</v>
      </c>
      <c r="E75" s="974">
        <v>-24</v>
      </c>
      <c r="F75" s="974">
        <v>33</v>
      </c>
      <c r="G75" s="974">
        <v>21</v>
      </c>
      <c r="H75" s="974">
        <v>3650</v>
      </c>
      <c r="I75" s="974">
        <v>13</v>
      </c>
      <c r="J75" s="974">
        <v>48</v>
      </c>
      <c r="K75" s="974">
        <v>400</v>
      </c>
      <c r="L75" s="974">
        <v>0.5</v>
      </c>
      <c r="M75" s="974">
        <v>525</v>
      </c>
      <c r="N75" s="974">
        <v>80</v>
      </c>
      <c r="O75" s="974">
        <v>3.5</v>
      </c>
      <c r="P75" s="974">
        <v>0.1</v>
      </c>
      <c r="Q75" s="974">
        <v>0.28999999999999998</v>
      </c>
      <c r="R75" s="974">
        <v>0.39</v>
      </c>
    </row>
    <row r="76" spans="1:18" x14ac:dyDescent="0.35">
      <c r="A76" s="974" t="s">
        <v>403</v>
      </c>
      <c r="B76" s="974" t="s">
        <v>1755</v>
      </c>
      <c r="C76" s="974">
        <v>5</v>
      </c>
      <c r="D76" s="974">
        <v>-4</v>
      </c>
      <c r="E76" s="974">
        <v>-6</v>
      </c>
      <c r="F76" s="974">
        <v>18</v>
      </c>
      <c r="G76" s="974">
        <v>15</v>
      </c>
      <c r="H76" s="974">
        <v>3450</v>
      </c>
      <c r="I76" s="974">
        <v>13</v>
      </c>
      <c r="J76" s="974">
        <v>86</v>
      </c>
      <c r="K76" s="974">
        <v>1300</v>
      </c>
      <c r="L76" s="974">
        <v>1.5</v>
      </c>
      <c r="M76" s="974">
        <v>1350</v>
      </c>
      <c r="N76" s="974">
        <v>500</v>
      </c>
      <c r="O76" s="974">
        <v>1.8</v>
      </c>
      <c r="P76" s="974">
        <v>0.4</v>
      </c>
      <c r="Q76" s="974">
        <v>0.59</v>
      </c>
      <c r="R76" s="974">
        <v>0.72</v>
      </c>
    </row>
    <row r="77" spans="1:18" x14ac:dyDescent="0.35">
      <c r="A77" s="974" t="s">
        <v>403</v>
      </c>
      <c r="B77" s="974" t="s">
        <v>1756</v>
      </c>
      <c r="C77" s="974">
        <v>25</v>
      </c>
      <c r="D77" s="974">
        <v>-6</v>
      </c>
      <c r="E77" s="974">
        <v>-8</v>
      </c>
      <c r="F77" s="974">
        <v>27</v>
      </c>
      <c r="G77" s="974">
        <v>20</v>
      </c>
      <c r="H77" s="974">
        <v>2680</v>
      </c>
      <c r="I77" s="974">
        <v>10</v>
      </c>
      <c r="J77" s="974">
        <v>75</v>
      </c>
      <c r="K77" s="974">
        <v>1140</v>
      </c>
      <c r="L77" s="974">
        <v>1.3</v>
      </c>
      <c r="M77" s="974">
        <v>1200</v>
      </c>
      <c r="N77" s="974">
        <v>160</v>
      </c>
      <c r="O77" s="974">
        <v>1.8</v>
      </c>
      <c r="P77" s="974">
        <v>0.4</v>
      </c>
      <c r="Q77" s="974">
        <v>0.38</v>
      </c>
      <c r="R77" s="974">
        <v>0.48</v>
      </c>
    </row>
    <row r="78" spans="1:18" x14ac:dyDescent="0.35">
      <c r="A78" s="974" t="s">
        <v>403</v>
      </c>
      <c r="B78" s="974" t="s">
        <v>1757</v>
      </c>
      <c r="C78" s="974">
        <v>10</v>
      </c>
      <c r="D78" s="974">
        <v>-4</v>
      </c>
      <c r="E78" s="974">
        <v>-6</v>
      </c>
      <c r="F78" s="974">
        <v>26</v>
      </c>
      <c r="G78" s="974">
        <v>18</v>
      </c>
      <c r="H78" s="974">
        <v>2850</v>
      </c>
      <c r="I78" s="974">
        <v>8</v>
      </c>
      <c r="J78" s="974">
        <v>96</v>
      </c>
      <c r="K78" s="974">
        <v>825</v>
      </c>
      <c r="L78" s="974">
        <v>1</v>
      </c>
      <c r="M78" s="974">
        <v>850</v>
      </c>
      <c r="N78" s="974">
        <v>160</v>
      </c>
      <c r="O78" s="974">
        <v>1.1000000000000001</v>
      </c>
      <c r="P78" s="974">
        <v>0.2</v>
      </c>
      <c r="Q78" s="974">
        <v>0.34</v>
      </c>
      <c r="R78" s="974">
        <v>0.42</v>
      </c>
    </row>
    <row r="79" spans="1:18" x14ac:dyDescent="0.35">
      <c r="A79" s="974" t="s">
        <v>403</v>
      </c>
      <c r="B79" s="974" t="s">
        <v>1758</v>
      </c>
      <c r="C79" s="974">
        <v>500</v>
      </c>
      <c r="D79" s="974">
        <v>-29</v>
      </c>
      <c r="E79" s="974">
        <v>-31</v>
      </c>
      <c r="F79" s="974">
        <v>26</v>
      </c>
      <c r="G79" s="974">
        <v>17</v>
      </c>
      <c r="H79" s="974">
        <v>5040</v>
      </c>
      <c r="I79" s="974">
        <v>13</v>
      </c>
      <c r="J79" s="974">
        <v>60</v>
      </c>
      <c r="K79" s="974">
        <v>325</v>
      </c>
      <c r="L79" s="974">
        <v>0.6</v>
      </c>
      <c r="M79" s="974">
        <v>500</v>
      </c>
      <c r="N79" s="974">
        <v>120</v>
      </c>
      <c r="O79" s="974">
        <v>3.5</v>
      </c>
      <c r="P79" s="974">
        <v>0.2</v>
      </c>
      <c r="Q79" s="974">
        <v>0.3</v>
      </c>
      <c r="R79" s="974">
        <v>0.4</v>
      </c>
    </row>
    <row r="80" spans="1:18" x14ac:dyDescent="0.35">
      <c r="A80" s="974" t="s">
        <v>403</v>
      </c>
      <c r="B80" s="974" t="s">
        <v>1759</v>
      </c>
      <c r="C80" s="974">
        <v>660</v>
      </c>
      <c r="D80" s="974">
        <v>-45</v>
      </c>
      <c r="E80" s="974">
        <v>-47</v>
      </c>
      <c r="F80" s="974">
        <v>26</v>
      </c>
      <c r="G80" s="974">
        <v>17</v>
      </c>
      <c r="H80" s="974">
        <v>7100</v>
      </c>
      <c r="I80" s="974">
        <v>10</v>
      </c>
      <c r="J80" s="974">
        <v>64</v>
      </c>
      <c r="K80" s="974">
        <v>300</v>
      </c>
      <c r="L80" s="974">
        <v>0.6</v>
      </c>
      <c r="M80" s="974">
        <v>500</v>
      </c>
      <c r="N80" s="974">
        <v>40</v>
      </c>
      <c r="O80" s="974">
        <v>2.8</v>
      </c>
      <c r="P80" s="974">
        <v>0.1</v>
      </c>
      <c r="Q80" s="974">
        <v>0.24</v>
      </c>
      <c r="R80" s="974">
        <v>0.3</v>
      </c>
    </row>
    <row r="81" spans="1:18" x14ac:dyDescent="0.35">
      <c r="A81" s="974" t="s">
        <v>403</v>
      </c>
      <c r="B81" s="974" t="s">
        <v>1760</v>
      </c>
      <c r="C81" s="974">
        <v>20</v>
      </c>
      <c r="D81" s="974">
        <v>-1</v>
      </c>
      <c r="E81" s="974">
        <v>-3</v>
      </c>
      <c r="F81" s="974">
        <v>21</v>
      </c>
      <c r="G81" s="974">
        <v>16</v>
      </c>
      <c r="H81" s="974">
        <v>2900</v>
      </c>
      <c r="I81" s="974">
        <v>9</v>
      </c>
      <c r="J81" s="974">
        <v>130</v>
      </c>
      <c r="K81" s="974">
        <v>1250</v>
      </c>
      <c r="L81" s="974">
        <v>1.4</v>
      </c>
      <c r="M81" s="974">
        <v>1280</v>
      </c>
      <c r="N81" s="974">
        <v>220</v>
      </c>
      <c r="O81" s="974">
        <v>1.3</v>
      </c>
      <c r="P81" s="974">
        <v>0.3</v>
      </c>
      <c r="Q81" s="974">
        <v>0.38</v>
      </c>
      <c r="R81" s="974">
        <v>0.48</v>
      </c>
    </row>
    <row r="82" spans="1:18" x14ac:dyDescent="0.35">
      <c r="A82" s="974" t="s">
        <v>403</v>
      </c>
      <c r="B82" s="974" t="s">
        <v>1761</v>
      </c>
      <c r="C82" s="974">
        <v>5</v>
      </c>
      <c r="D82" s="974">
        <v>-9</v>
      </c>
      <c r="E82" s="974">
        <v>-11</v>
      </c>
      <c r="F82" s="974">
        <v>29</v>
      </c>
      <c r="G82" s="974">
        <v>20</v>
      </c>
      <c r="H82" s="974">
        <v>2950</v>
      </c>
      <c r="I82" s="974">
        <v>10</v>
      </c>
      <c r="J82" s="974">
        <v>140</v>
      </c>
      <c r="K82" s="974">
        <v>2050</v>
      </c>
      <c r="L82" s="974">
        <v>2.1</v>
      </c>
      <c r="M82" s="974">
        <v>2200</v>
      </c>
      <c r="N82" s="974">
        <v>160</v>
      </c>
      <c r="O82" s="974">
        <v>2.8</v>
      </c>
      <c r="P82" s="974">
        <v>0.7</v>
      </c>
      <c r="Q82" s="974">
        <v>0.38</v>
      </c>
      <c r="R82" s="974">
        <v>0.5</v>
      </c>
    </row>
    <row r="83" spans="1:18" x14ac:dyDescent="0.35">
      <c r="A83" s="974" t="s">
        <v>403</v>
      </c>
      <c r="B83" s="974" t="s">
        <v>1762</v>
      </c>
      <c r="C83" s="974">
        <v>10</v>
      </c>
      <c r="D83" s="974">
        <v>-17</v>
      </c>
      <c r="E83" s="974">
        <v>-20</v>
      </c>
      <c r="F83" s="974">
        <v>25</v>
      </c>
      <c r="G83" s="974">
        <v>16</v>
      </c>
      <c r="H83" s="974">
        <v>4350</v>
      </c>
      <c r="I83" s="974">
        <v>13</v>
      </c>
      <c r="J83" s="974">
        <v>135</v>
      </c>
      <c r="K83" s="974">
        <v>1300</v>
      </c>
      <c r="L83" s="974">
        <v>1.5</v>
      </c>
      <c r="M83" s="974">
        <v>1900</v>
      </c>
      <c r="N83" s="974">
        <v>180</v>
      </c>
      <c r="O83" s="974">
        <v>7.9</v>
      </c>
      <c r="P83" s="974">
        <v>0.8</v>
      </c>
      <c r="Q83" s="974">
        <v>0.27</v>
      </c>
      <c r="R83" s="974">
        <v>0.36</v>
      </c>
    </row>
    <row r="84" spans="1:18" x14ac:dyDescent="0.35">
      <c r="A84" s="974" t="s">
        <v>403</v>
      </c>
      <c r="B84" s="974" t="s">
        <v>1763</v>
      </c>
      <c r="C84" s="974">
        <v>25</v>
      </c>
      <c r="D84" s="974">
        <v>-4</v>
      </c>
      <c r="E84" s="974">
        <v>-6</v>
      </c>
      <c r="F84" s="974">
        <v>26</v>
      </c>
      <c r="G84" s="974">
        <v>18</v>
      </c>
      <c r="H84" s="974">
        <v>3150</v>
      </c>
      <c r="I84" s="974">
        <v>13</v>
      </c>
      <c r="J84" s="974">
        <v>200</v>
      </c>
      <c r="K84" s="974">
        <v>3845</v>
      </c>
      <c r="L84" s="974">
        <v>3.9</v>
      </c>
      <c r="M84" s="974">
        <v>3900</v>
      </c>
      <c r="N84" s="974">
        <v>300</v>
      </c>
      <c r="O84" s="974">
        <v>1.1000000000000001</v>
      </c>
      <c r="P84" s="974">
        <v>0.4</v>
      </c>
      <c r="Q84" s="974">
        <v>0.26</v>
      </c>
      <c r="R84" s="974">
        <v>0.34</v>
      </c>
    </row>
    <row r="85" spans="1:18" x14ac:dyDescent="0.35">
      <c r="A85" s="974" t="s">
        <v>403</v>
      </c>
      <c r="B85" s="974" t="s">
        <v>1764</v>
      </c>
      <c r="C85" s="974">
        <v>515</v>
      </c>
      <c r="D85" s="974">
        <v>-35</v>
      </c>
      <c r="E85" s="974">
        <v>-37</v>
      </c>
      <c r="F85" s="974">
        <v>26</v>
      </c>
      <c r="G85" s="974">
        <v>18</v>
      </c>
      <c r="H85" s="974">
        <v>5720</v>
      </c>
      <c r="I85" s="974">
        <v>15</v>
      </c>
      <c r="J85" s="974">
        <v>72</v>
      </c>
      <c r="K85" s="974">
        <v>320</v>
      </c>
      <c r="L85" s="974">
        <v>0.5</v>
      </c>
      <c r="M85" s="974">
        <v>450</v>
      </c>
      <c r="N85" s="974">
        <v>100</v>
      </c>
      <c r="O85" s="974">
        <v>2.2999999999999998</v>
      </c>
      <c r="P85" s="974">
        <v>0.1</v>
      </c>
      <c r="Q85" s="974">
        <v>0.3</v>
      </c>
      <c r="R85" s="974">
        <v>0.4</v>
      </c>
    </row>
    <row r="86" spans="1:18" x14ac:dyDescent="0.35">
      <c r="A86" s="974" t="s">
        <v>403</v>
      </c>
      <c r="B86" s="974" t="s">
        <v>1765</v>
      </c>
      <c r="C86" s="974">
        <v>60</v>
      </c>
      <c r="D86" s="974">
        <v>-19</v>
      </c>
      <c r="E86" s="974">
        <v>-21</v>
      </c>
      <c r="F86" s="974">
        <v>27</v>
      </c>
      <c r="G86" s="974">
        <v>17</v>
      </c>
      <c r="H86" s="974">
        <v>4150</v>
      </c>
      <c r="I86" s="974">
        <v>13</v>
      </c>
      <c r="J86" s="974">
        <v>120</v>
      </c>
      <c r="K86" s="974">
        <v>950</v>
      </c>
      <c r="L86" s="974">
        <v>1.1000000000000001</v>
      </c>
      <c r="M86" s="974">
        <v>1150</v>
      </c>
      <c r="N86" s="974">
        <v>200</v>
      </c>
      <c r="O86" s="974">
        <v>5.4</v>
      </c>
      <c r="P86" s="974">
        <v>0.6</v>
      </c>
      <c r="Q86" s="974">
        <v>0.27</v>
      </c>
      <c r="R86" s="974">
        <v>0.36</v>
      </c>
    </row>
    <row r="87" spans="1:18" x14ac:dyDescent="0.35">
      <c r="A87" s="974" t="s">
        <v>403</v>
      </c>
      <c r="B87" s="974" t="s">
        <v>1766</v>
      </c>
      <c r="C87" s="974">
        <v>10</v>
      </c>
      <c r="D87" s="974">
        <v>-2</v>
      </c>
      <c r="E87" s="974">
        <v>-4</v>
      </c>
      <c r="F87" s="974">
        <v>20</v>
      </c>
      <c r="G87" s="974">
        <v>16</v>
      </c>
      <c r="H87" s="974">
        <v>3150</v>
      </c>
      <c r="I87" s="974">
        <v>13</v>
      </c>
      <c r="J87" s="974">
        <v>193</v>
      </c>
      <c r="K87" s="974">
        <v>3275</v>
      </c>
      <c r="L87" s="974">
        <v>3.4</v>
      </c>
      <c r="M87" s="974">
        <v>3300</v>
      </c>
      <c r="N87" s="974">
        <v>300</v>
      </c>
      <c r="O87" s="974">
        <v>1.1000000000000001</v>
      </c>
      <c r="P87" s="974">
        <v>0.4</v>
      </c>
      <c r="Q87" s="974">
        <v>0.51</v>
      </c>
      <c r="R87" s="974">
        <v>0.68</v>
      </c>
    </row>
    <row r="88" spans="1:18" x14ac:dyDescent="0.35">
      <c r="A88" s="974" t="s">
        <v>403</v>
      </c>
      <c r="B88" s="974" t="s">
        <v>1767</v>
      </c>
      <c r="C88" s="974">
        <v>440</v>
      </c>
      <c r="D88" s="974">
        <v>-14</v>
      </c>
      <c r="E88" s="974">
        <v>-17</v>
      </c>
      <c r="F88" s="974">
        <v>33</v>
      </c>
      <c r="G88" s="974">
        <v>20</v>
      </c>
      <c r="H88" s="974">
        <v>3600</v>
      </c>
      <c r="I88" s="974">
        <v>10</v>
      </c>
      <c r="J88" s="974">
        <v>54</v>
      </c>
      <c r="K88" s="974">
        <v>580</v>
      </c>
      <c r="L88" s="974">
        <v>0.7</v>
      </c>
      <c r="M88" s="974">
        <v>700</v>
      </c>
      <c r="N88" s="974">
        <v>60</v>
      </c>
      <c r="O88" s="974">
        <v>4.0999999999999996</v>
      </c>
      <c r="P88" s="974">
        <v>0.1</v>
      </c>
      <c r="Q88" s="974">
        <v>0.26</v>
      </c>
      <c r="R88" s="974">
        <v>0.35</v>
      </c>
    </row>
    <row r="89" spans="1:18" x14ac:dyDescent="0.35">
      <c r="A89" s="974" t="s">
        <v>403</v>
      </c>
      <c r="B89" s="974" t="s">
        <v>1768</v>
      </c>
      <c r="C89" s="974">
        <v>5</v>
      </c>
      <c r="D89" s="974">
        <v>-2</v>
      </c>
      <c r="E89" s="974">
        <v>-4</v>
      </c>
      <c r="F89" s="974">
        <v>18</v>
      </c>
      <c r="G89" s="974">
        <v>16</v>
      </c>
      <c r="H89" s="974">
        <v>3120</v>
      </c>
      <c r="I89" s="974">
        <v>13</v>
      </c>
      <c r="J89" s="974">
        <v>180</v>
      </c>
      <c r="K89" s="974">
        <v>3175</v>
      </c>
      <c r="L89" s="974">
        <v>3.3</v>
      </c>
      <c r="M89" s="974">
        <v>3200</v>
      </c>
      <c r="N89" s="974">
        <v>280</v>
      </c>
      <c r="O89" s="974">
        <v>1</v>
      </c>
      <c r="P89" s="974">
        <v>0.4</v>
      </c>
      <c r="Q89" s="974">
        <v>0.51</v>
      </c>
      <c r="R89" s="974">
        <v>0.68</v>
      </c>
    </row>
    <row r="90" spans="1:18" x14ac:dyDescent="0.35">
      <c r="A90" s="974" t="s">
        <v>403</v>
      </c>
      <c r="B90" s="974" t="s">
        <v>1769</v>
      </c>
      <c r="C90" s="974">
        <v>330</v>
      </c>
      <c r="D90" s="974">
        <v>-7</v>
      </c>
      <c r="E90" s="974">
        <v>-9</v>
      </c>
      <c r="F90" s="974">
        <v>25</v>
      </c>
      <c r="G90" s="974">
        <v>17</v>
      </c>
      <c r="H90" s="974">
        <v>3100</v>
      </c>
      <c r="I90" s="974">
        <v>10</v>
      </c>
      <c r="J90" s="974">
        <v>150</v>
      </c>
      <c r="K90" s="974">
        <v>1850</v>
      </c>
      <c r="L90" s="974">
        <v>1.9</v>
      </c>
      <c r="M90" s="974">
        <v>1950</v>
      </c>
      <c r="N90" s="974">
        <v>160</v>
      </c>
      <c r="O90" s="974">
        <v>2.9</v>
      </c>
      <c r="P90" s="974">
        <v>0.7</v>
      </c>
      <c r="Q90" s="974">
        <v>0.35</v>
      </c>
      <c r="R90" s="974">
        <v>0.47</v>
      </c>
    </row>
    <row r="91" spans="1:18" x14ac:dyDescent="0.35">
      <c r="A91" s="974" t="s">
        <v>403</v>
      </c>
      <c r="B91" s="974" t="s">
        <v>1770</v>
      </c>
      <c r="C91" s="974">
        <v>10</v>
      </c>
      <c r="D91" s="974">
        <v>-8</v>
      </c>
      <c r="E91" s="974">
        <v>-10</v>
      </c>
      <c r="F91" s="974">
        <v>29</v>
      </c>
      <c r="G91" s="974">
        <v>20</v>
      </c>
      <c r="H91" s="974">
        <v>2700</v>
      </c>
      <c r="I91" s="974">
        <v>10</v>
      </c>
      <c r="J91" s="974">
        <v>112</v>
      </c>
      <c r="K91" s="974">
        <v>1350</v>
      </c>
      <c r="L91" s="974">
        <v>1.4</v>
      </c>
      <c r="M91" s="974">
        <v>1400</v>
      </c>
      <c r="N91" s="974">
        <v>160</v>
      </c>
      <c r="O91" s="974">
        <v>2.5</v>
      </c>
      <c r="P91" s="974">
        <v>0.2</v>
      </c>
      <c r="Q91" s="974">
        <v>0.33</v>
      </c>
      <c r="R91" s="974">
        <v>0.44</v>
      </c>
    </row>
    <row r="92" spans="1:18" x14ac:dyDescent="0.35">
      <c r="A92" s="974" t="s">
        <v>403</v>
      </c>
      <c r="B92" s="974" t="s">
        <v>1771</v>
      </c>
      <c r="C92" s="974">
        <v>10</v>
      </c>
      <c r="D92" s="974">
        <v>-9</v>
      </c>
      <c r="E92" s="974">
        <v>-11</v>
      </c>
      <c r="F92" s="974">
        <v>30</v>
      </c>
      <c r="G92" s="974">
        <v>20</v>
      </c>
      <c r="H92" s="974">
        <v>2840</v>
      </c>
      <c r="I92" s="974">
        <v>10</v>
      </c>
      <c r="J92" s="974">
        <v>134</v>
      </c>
      <c r="K92" s="974">
        <v>1800</v>
      </c>
      <c r="L92" s="974">
        <v>1.9</v>
      </c>
      <c r="M92" s="974">
        <v>1950</v>
      </c>
      <c r="N92" s="974">
        <v>160</v>
      </c>
      <c r="O92" s="974">
        <v>2.4</v>
      </c>
      <c r="P92" s="974">
        <v>0.2</v>
      </c>
      <c r="Q92" s="974">
        <v>0.33</v>
      </c>
      <c r="R92" s="974">
        <v>0.44</v>
      </c>
    </row>
    <row r="93" spans="1:18" x14ac:dyDescent="0.35">
      <c r="A93" s="974" t="s">
        <v>403</v>
      </c>
      <c r="B93" s="974" t="s">
        <v>1772</v>
      </c>
      <c r="C93" s="974">
        <v>3</v>
      </c>
      <c r="D93" s="974">
        <v>-6</v>
      </c>
      <c r="E93" s="974">
        <v>-8</v>
      </c>
      <c r="F93" s="974">
        <v>27</v>
      </c>
      <c r="G93" s="974">
        <v>19</v>
      </c>
      <c r="H93" s="974">
        <v>2600</v>
      </c>
      <c r="I93" s="974">
        <v>10</v>
      </c>
      <c r="J93" s="974">
        <v>80</v>
      </c>
      <c r="K93" s="974">
        <v>1000</v>
      </c>
      <c r="L93" s="974">
        <v>1.1000000000000001</v>
      </c>
      <c r="M93" s="974">
        <v>1050</v>
      </c>
      <c r="N93" s="974">
        <v>160</v>
      </c>
      <c r="O93" s="974">
        <v>1.3</v>
      </c>
      <c r="P93" s="974">
        <v>0.2</v>
      </c>
      <c r="Q93" s="974">
        <v>0.37</v>
      </c>
      <c r="R93" s="974">
        <v>0.46</v>
      </c>
    </row>
    <row r="94" spans="1:18" x14ac:dyDescent="0.35">
      <c r="A94" s="974" t="s">
        <v>403</v>
      </c>
      <c r="B94" s="974" t="s">
        <v>1773</v>
      </c>
      <c r="C94" s="974">
        <v>15</v>
      </c>
      <c r="D94" s="974">
        <v>-8</v>
      </c>
      <c r="E94" s="974">
        <v>-10</v>
      </c>
      <c r="F94" s="974">
        <v>29</v>
      </c>
      <c r="G94" s="974">
        <v>20</v>
      </c>
      <c r="H94" s="974">
        <v>2700</v>
      </c>
      <c r="I94" s="974">
        <v>10</v>
      </c>
      <c r="J94" s="974">
        <v>112</v>
      </c>
      <c r="K94" s="974">
        <v>1450</v>
      </c>
      <c r="L94" s="974">
        <v>1.5</v>
      </c>
      <c r="M94" s="974">
        <v>1500</v>
      </c>
      <c r="N94" s="974">
        <v>160</v>
      </c>
      <c r="O94" s="974">
        <v>2.4</v>
      </c>
      <c r="P94" s="974">
        <v>0.2</v>
      </c>
      <c r="Q94" s="974">
        <v>0.33</v>
      </c>
      <c r="R94" s="974">
        <v>0.44</v>
      </c>
    </row>
    <row r="95" spans="1:18" x14ac:dyDescent="0.35">
      <c r="A95" s="974" t="s">
        <v>403</v>
      </c>
      <c r="B95" s="974" t="s">
        <v>1774</v>
      </c>
      <c r="C95" s="974">
        <v>10</v>
      </c>
      <c r="D95" s="974">
        <v>-8</v>
      </c>
      <c r="E95" s="974">
        <v>-10</v>
      </c>
      <c r="F95" s="974">
        <v>29</v>
      </c>
      <c r="G95" s="974">
        <v>19</v>
      </c>
      <c r="H95" s="974">
        <v>2800</v>
      </c>
      <c r="I95" s="974">
        <v>10</v>
      </c>
      <c r="J95" s="974">
        <v>134</v>
      </c>
      <c r="K95" s="974">
        <v>1500</v>
      </c>
      <c r="L95" s="974">
        <v>1.6</v>
      </c>
      <c r="M95" s="974">
        <v>1575</v>
      </c>
      <c r="N95" s="974">
        <v>160</v>
      </c>
      <c r="O95" s="974">
        <v>2.2999999999999998</v>
      </c>
      <c r="P95" s="974">
        <v>0.2</v>
      </c>
      <c r="Q95" s="974">
        <v>0.33</v>
      </c>
      <c r="R95" s="974">
        <v>0.44</v>
      </c>
    </row>
    <row r="96" spans="1:18" x14ac:dyDescent="0.35">
      <c r="A96" s="974" t="s">
        <v>403</v>
      </c>
      <c r="B96" s="974" t="s">
        <v>1775</v>
      </c>
      <c r="C96" s="974">
        <v>135</v>
      </c>
      <c r="D96" s="974">
        <v>-7</v>
      </c>
      <c r="E96" s="974">
        <v>-9</v>
      </c>
      <c r="F96" s="974">
        <v>26</v>
      </c>
      <c r="G96" s="974">
        <v>19</v>
      </c>
      <c r="H96" s="974">
        <v>2910</v>
      </c>
      <c r="I96" s="974">
        <v>12</v>
      </c>
      <c r="J96" s="974">
        <v>150</v>
      </c>
      <c r="K96" s="974">
        <v>2000</v>
      </c>
      <c r="L96" s="974">
        <v>2.1</v>
      </c>
      <c r="M96" s="974">
        <v>2100</v>
      </c>
      <c r="N96" s="974">
        <v>160</v>
      </c>
      <c r="O96" s="974">
        <v>3</v>
      </c>
      <c r="P96" s="974">
        <v>0.3</v>
      </c>
      <c r="Q96" s="974">
        <v>0.34</v>
      </c>
      <c r="R96" s="974">
        <v>0.45</v>
      </c>
    </row>
    <row r="97" spans="1:18" x14ac:dyDescent="0.35">
      <c r="A97" s="974" t="s">
        <v>403</v>
      </c>
      <c r="B97" s="974" t="s">
        <v>1776</v>
      </c>
      <c r="C97" s="974">
        <v>5</v>
      </c>
      <c r="D97" s="974">
        <v>-7</v>
      </c>
      <c r="E97" s="974">
        <v>-9</v>
      </c>
      <c r="F97" s="974">
        <v>27</v>
      </c>
      <c r="G97" s="974">
        <v>19</v>
      </c>
      <c r="H97" s="974">
        <v>2800</v>
      </c>
      <c r="I97" s="974">
        <v>10</v>
      </c>
      <c r="J97" s="974">
        <v>86</v>
      </c>
      <c r="K97" s="974">
        <v>1070</v>
      </c>
      <c r="L97" s="974">
        <v>1.2</v>
      </c>
      <c r="M97" s="974">
        <v>1100</v>
      </c>
      <c r="N97" s="974">
        <v>160</v>
      </c>
      <c r="O97" s="974">
        <v>1.5</v>
      </c>
      <c r="P97" s="974">
        <v>0.2</v>
      </c>
      <c r="Q97" s="974">
        <v>0.36</v>
      </c>
      <c r="R97" s="974">
        <v>0.45</v>
      </c>
    </row>
    <row r="98" spans="1:18" x14ac:dyDescent="0.35">
      <c r="A98" s="974" t="s">
        <v>403</v>
      </c>
      <c r="B98" s="974" t="s">
        <v>1777</v>
      </c>
      <c r="C98" s="974">
        <v>90</v>
      </c>
      <c r="D98" s="974">
        <v>-8</v>
      </c>
      <c r="E98" s="974">
        <v>-10</v>
      </c>
      <c r="F98" s="974">
        <v>29</v>
      </c>
      <c r="G98" s="974">
        <v>20</v>
      </c>
      <c r="H98" s="974">
        <v>2750</v>
      </c>
      <c r="I98" s="974">
        <v>10</v>
      </c>
      <c r="J98" s="974">
        <v>128</v>
      </c>
      <c r="K98" s="974">
        <v>1500</v>
      </c>
      <c r="L98" s="974">
        <v>1.6</v>
      </c>
      <c r="M98" s="974">
        <v>1575</v>
      </c>
      <c r="N98" s="974">
        <v>160</v>
      </c>
      <c r="O98" s="974">
        <v>2.4</v>
      </c>
      <c r="P98" s="974">
        <v>0.3</v>
      </c>
      <c r="Q98" s="974">
        <v>0.33</v>
      </c>
      <c r="R98" s="974">
        <v>0.44</v>
      </c>
    </row>
    <row r="99" spans="1:18" x14ac:dyDescent="0.35">
      <c r="A99" s="974" t="s">
        <v>403</v>
      </c>
      <c r="B99" s="974" t="s">
        <v>1778</v>
      </c>
      <c r="C99" s="974">
        <v>40</v>
      </c>
      <c r="D99" s="974">
        <v>-7</v>
      </c>
      <c r="E99" s="974">
        <v>-9</v>
      </c>
      <c r="F99" s="974">
        <v>28</v>
      </c>
      <c r="G99" s="974">
        <v>20</v>
      </c>
      <c r="H99" s="974">
        <v>2825</v>
      </c>
      <c r="I99" s="974">
        <v>10</v>
      </c>
      <c r="J99" s="974">
        <v>112</v>
      </c>
      <c r="K99" s="974">
        <v>1325</v>
      </c>
      <c r="L99" s="974">
        <v>1.4</v>
      </c>
      <c r="M99" s="974">
        <v>1400</v>
      </c>
      <c r="N99" s="974">
        <v>160</v>
      </c>
      <c r="O99" s="974">
        <v>1.8</v>
      </c>
      <c r="P99" s="974">
        <v>0.2</v>
      </c>
      <c r="Q99" s="974">
        <v>0.34</v>
      </c>
      <c r="R99" s="974">
        <v>0.45</v>
      </c>
    </row>
    <row r="100" spans="1:18" x14ac:dyDescent="0.35">
      <c r="A100" s="974" t="s">
        <v>403</v>
      </c>
      <c r="B100" s="974" t="s">
        <v>1778</v>
      </c>
      <c r="C100" s="974">
        <v>120</v>
      </c>
      <c r="D100" s="974">
        <v>-6</v>
      </c>
      <c r="E100" s="974">
        <v>-8</v>
      </c>
      <c r="F100" s="974">
        <v>28</v>
      </c>
      <c r="G100" s="974">
        <v>20</v>
      </c>
      <c r="H100" s="974">
        <v>2925</v>
      </c>
      <c r="I100" s="974">
        <v>10</v>
      </c>
      <c r="J100" s="974">
        <v>107</v>
      </c>
      <c r="K100" s="974">
        <v>1325</v>
      </c>
      <c r="L100" s="974">
        <v>1.4</v>
      </c>
      <c r="M100" s="974">
        <v>1400</v>
      </c>
      <c r="N100" s="974">
        <v>160</v>
      </c>
      <c r="O100" s="974">
        <v>1.9</v>
      </c>
      <c r="P100" s="974">
        <v>0.3</v>
      </c>
      <c r="Q100" s="974">
        <v>0.36</v>
      </c>
      <c r="R100" s="974">
        <v>0.45</v>
      </c>
    </row>
    <row r="101" spans="1:18" x14ac:dyDescent="0.35">
      <c r="A101" s="974" t="s">
        <v>403</v>
      </c>
      <c r="B101" s="974" t="s">
        <v>1779</v>
      </c>
      <c r="C101" s="974">
        <v>45</v>
      </c>
      <c r="D101" s="974">
        <v>-7</v>
      </c>
      <c r="E101" s="974">
        <v>-9</v>
      </c>
      <c r="F101" s="974">
        <v>28</v>
      </c>
      <c r="G101" s="974">
        <v>19</v>
      </c>
      <c r="H101" s="974">
        <v>2950</v>
      </c>
      <c r="I101" s="974">
        <v>12</v>
      </c>
      <c r="J101" s="974">
        <v>150</v>
      </c>
      <c r="K101" s="974">
        <v>1600</v>
      </c>
      <c r="L101" s="974">
        <v>1.7</v>
      </c>
      <c r="M101" s="974">
        <v>1700</v>
      </c>
      <c r="N101" s="974">
        <v>160</v>
      </c>
      <c r="O101" s="974">
        <v>2.4</v>
      </c>
      <c r="P101" s="974">
        <v>0.2</v>
      </c>
      <c r="Q101" s="974">
        <v>0.36</v>
      </c>
      <c r="R101" s="974">
        <v>0.48</v>
      </c>
    </row>
    <row r="102" spans="1:18" x14ac:dyDescent="0.35">
      <c r="A102" s="974" t="s">
        <v>403</v>
      </c>
      <c r="B102" s="974" t="s">
        <v>1780</v>
      </c>
      <c r="C102" s="974">
        <v>405</v>
      </c>
      <c r="D102" s="974">
        <v>-20</v>
      </c>
      <c r="E102" s="974">
        <v>-23</v>
      </c>
      <c r="F102" s="974">
        <v>33</v>
      </c>
      <c r="G102" s="974">
        <v>20</v>
      </c>
      <c r="H102" s="974">
        <v>3600</v>
      </c>
      <c r="I102" s="974">
        <v>13</v>
      </c>
      <c r="J102" s="974">
        <v>43</v>
      </c>
      <c r="K102" s="974">
        <v>350</v>
      </c>
      <c r="L102" s="974">
        <v>0.4</v>
      </c>
      <c r="M102" s="974">
        <v>400</v>
      </c>
      <c r="N102" s="974">
        <v>80</v>
      </c>
      <c r="O102" s="974">
        <v>2.2000000000000002</v>
      </c>
      <c r="P102" s="974">
        <v>0.1</v>
      </c>
      <c r="Q102" s="974">
        <v>0.3</v>
      </c>
      <c r="R102" s="974">
        <v>0.4</v>
      </c>
    </row>
    <row r="103" spans="1:18" x14ac:dyDescent="0.35">
      <c r="A103" s="974" t="s">
        <v>403</v>
      </c>
      <c r="B103" s="974" t="s">
        <v>1781</v>
      </c>
      <c r="C103" s="974">
        <v>10</v>
      </c>
      <c r="D103" s="974">
        <v>-4</v>
      </c>
      <c r="E103" s="974">
        <v>-6</v>
      </c>
      <c r="F103" s="974">
        <v>24</v>
      </c>
      <c r="G103" s="974">
        <v>17</v>
      </c>
      <c r="H103" s="974">
        <v>2650</v>
      </c>
      <c r="I103" s="974">
        <v>8</v>
      </c>
      <c r="J103" s="974">
        <v>91</v>
      </c>
      <c r="K103" s="974">
        <v>800</v>
      </c>
      <c r="L103" s="974">
        <v>1</v>
      </c>
      <c r="M103" s="974">
        <v>825</v>
      </c>
      <c r="N103" s="974">
        <v>220</v>
      </c>
      <c r="O103" s="974">
        <v>1.1000000000000001</v>
      </c>
      <c r="P103" s="974">
        <v>0.2</v>
      </c>
      <c r="Q103" s="974">
        <v>0.46</v>
      </c>
      <c r="R103" s="974">
        <v>0.56999999999999995</v>
      </c>
    </row>
    <row r="104" spans="1:18" x14ac:dyDescent="0.35">
      <c r="A104" s="974" t="s">
        <v>403</v>
      </c>
      <c r="B104" s="974" t="s">
        <v>1781</v>
      </c>
      <c r="C104" s="974">
        <v>65</v>
      </c>
      <c r="D104" s="974">
        <v>-4</v>
      </c>
      <c r="E104" s="974">
        <v>-6</v>
      </c>
      <c r="F104" s="974">
        <v>24</v>
      </c>
      <c r="G104" s="974">
        <v>17</v>
      </c>
      <c r="H104" s="974">
        <v>2700</v>
      </c>
      <c r="I104" s="974">
        <v>9</v>
      </c>
      <c r="J104" s="974">
        <v>91</v>
      </c>
      <c r="K104" s="974">
        <v>600</v>
      </c>
      <c r="L104" s="974">
        <v>0.8</v>
      </c>
      <c r="M104" s="974">
        <v>625</v>
      </c>
      <c r="N104" s="974">
        <v>220</v>
      </c>
      <c r="O104" s="974">
        <v>1.5</v>
      </c>
      <c r="P104" s="974">
        <v>0.3</v>
      </c>
      <c r="Q104" s="974">
        <v>0.46</v>
      </c>
      <c r="R104" s="974">
        <v>0.56999999999999995</v>
      </c>
    </row>
    <row r="105" spans="1:18" x14ac:dyDescent="0.35">
      <c r="A105" s="974" t="s">
        <v>403</v>
      </c>
      <c r="B105" s="974" t="s">
        <v>1781</v>
      </c>
      <c r="C105" s="974">
        <v>125</v>
      </c>
      <c r="D105" s="974">
        <v>-6</v>
      </c>
      <c r="E105" s="974">
        <v>-8</v>
      </c>
      <c r="F105" s="974">
        <v>24</v>
      </c>
      <c r="G105" s="974">
        <v>16</v>
      </c>
      <c r="H105" s="974">
        <v>2700</v>
      </c>
      <c r="I105" s="974">
        <v>9</v>
      </c>
      <c r="J105" s="974">
        <v>91</v>
      </c>
      <c r="K105" s="974">
        <v>775</v>
      </c>
      <c r="L105" s="974">
        <v>1</v>
      </c>
      <c r="M105" s="974">
        <v>800</v>
      </c>
      <c r="N105" s="974">
        <v>220</v>
      </c>
      <c r="O105" s="974">
        <v>2.1</v>
      </c>
      <c r="P105" s="974">
        <v>0.3</v>
      </c>
      <c r="Q105" s="974">
        <v>0.46</v>
      </c>
      <c r="R105" s="974">
        <v>0.56999999999999995</v>
      </c>
    </row>
    <row r="106" spans="1:18" x14ac:dyDescent="0.35">
      <c r="A106" s="974" t="s">
        <v>403</v>
      </c>
      <c r="B106" s="974" t="s">
        <v>1782</v>
      </c>
      <c r="C106" s="974">
        <v>665</v>
      </c>
      <c r="D106" s="974">
        <v>-17</v>
      </c>
      <c r="E106" s="974">
        <v>-20</v>
      </c>
      <c r="F106" s="974">
        <v>30</v>
      </c>
      <c r="G106" s="974">
        <v>20</v>
      </c>
      <c r="H106" s="974">
        <v>4180</v>
      </c>
      <c r="I106" s="974">
        <v>10</v>
      </c>
      <c r="J106" s="974">
        <v>85</v>
      </c>
      <c r="K106" s="974">
        <v>845</v>
      </c>
      <c r="L106" s="974">
        <v>1</v>
      </c>
      <c r="M106" s="974">
        <v>1215</v>
      </c>
      <c r="N106" s="974">
        <v>160</v>
      </c>
      <c r="O106" s="974">
        <v>9.5</v>
      </c>
      <c r="P106" s="974">
        <v>0.9</v>
      </c>
      <c r="Q106" s="974">
        <v>0.24</v>
      </c>
      <c r="R106" s="974">
        <v>0.32</v>
      </c>
    </row>
    <row r="107" spans="1:18" x14ac:dyDescent="0.35">
      <c r="A107" s="974" t="s">
        <v>403</v>
      </c>
      <c r="B107" s="974" t="s">
        <v>1783</v>
      </c>
      <c r="C107" s="974">
        <v>30</v>
      </c>
      <c r="D107" s="974">
        <v>-5</v>
      </c>
      <c r="E107" s="974">
        <v>-7</v>
      </c>
      <c r="F107" s="974">
        <v>25</v>
      </c>
      <c r="G107" s="974">
        <v>20</v>
      </c>
      <c r="H107" s="974">
        <v>2620</v>
      </c>
      <c r="I107" s="974">
        <v>10</v>
      </c>
      <c r="J107" s="974">
        <v>80</v>
      </c>
      <c r="K107" s="974">
        <v>1065</v>
      </c>
      <c r="L107" s="974">
        <v>1.2</v>
      </c>
      <c r="M107" s="974">
        <v>1100</v>
      </c>
      <c r="N107" s="974">
        <v>160</v>
      </c>
      <c r="O107" s="974">
        <v>2</v>
      </c>
      <c r="P107" s="974">
        <v>0.2</v>
      </c>
      <c r="Q107" s="974">
        <v>0.33</v>
      </c>
      <c r="R107" s="974">
        <v>0.44</v>
      </c>
    </row>
    <row r="108" spans="1:18" x14ac:dyDescent="0.35">
      <c r="A108" s="974" t="s">
        <v>403</v>
      </c>
      <c r="B108" s="974" t="s">
        <v>1784</v>
      </c>
      <c r="C108" s="974">
        <v>615</v>
      </c>
      <c r="D108" s="974">
        <v>-30</v>
      </c>
      <c r="E108" s="974">
        <v>-33</v>
      </c>
      <c r="F108" s="974">
        <v>29</v>
      </c>
      <c r="G108" s="974">
        <v>17</v>
      </c>
      <c r="H108" s="974">
        <v>4400</v>
      </c>
      <c r="I108" s="974">
        <v>10</v>
      </c>
      <c r="J108" s="974">
        <v>48</v>
      </c>
      <c r="K108" s="974">
        <v>350</v>
      </c>
      <c r="L108" s="974">
        <v>0.5</v>
      </c>
      <c r="M108" s="974">
        <v>425</v>
      </c>
      <c r="N108" s="974">
        <v>80</v>
      </c>
      <c r="O108" s="974">
        <v>2.4</v>
      </c>
      <c r="P108" s="974">
        <v>0.2</v>
      </c>
      <c r="Q108" s="974">
        <v>0.27</v>
      </c>
      <c r="R108" s="974">
        <v>0.35</v>
      </c>
    </row>
    <row r="109" spans="1:18" x14ac:dyDescent="0.35">
      <c r="A109" s="974" t="s">
        <v>403</v>
      </c>
      <c r="B109" s="974" t="s">
        <v>1785</v>
      </c>
      <c r="C109" s="974">
        <v>200</v>
      </c>
      <c r="D109" s="974">
        <v>-5</v>
      </c>
      <c r="E109" s="974">
        <v>-8</v>
      </c>
      <c r="F109" s="974">
        <v>31</v>
      </c>
      <c r="G109" s="974">
        <v>19</v>
      </c>
      <c r="H109" s="974">
        <v>3050</v>
      </c>
      <c r="I109" s="974">
        <v>10</v>
      </c>
      <c r="J109" s="974">
        <v>161</v>
      </c>
      <c r="K109" s="974">
        <v>2000</v>
      </c>
      <c r="L109" s="974">
        <v>2.1</v>
      </c>
      <c r="M109" s="974">
        <v>2100</v>
      </c>
      <c r="N109" s="974">
        <v>200</v>
      </c>
      <c r="O109" s="974">
        <v>3.5</v>
      </c>
      <c r="P109" s="974">
        <v>0.7</v>
      </c>
      <c r="Q109" s="974">
        <v>0.26</v>
      </c>
      <c r="R109" s="974">
        <v>0.32</v>
      </c>
    </row>
    <row r="110" spans="1:18" x14ac:dyDescent="0.35">
      <c r="A110" s="974" t="s">
        <v>403</v>
      </c>
      <c r="B110" s="974" t="s">
        <v>1786</v>
      </c>
      <c r="C110" s="974">
        <v>515</v>
      </c>
      <c r="D110" s="974">
        <v>-35</v>
      </c>
      <c r="E110" s="974">
        <v>-38</v>
      </c>
      <c r="F110" s="974">
        <v>27</v>
      </c>
      <c r="G110" s="974">
        <v>19</v>
      </c>
      <c r="H110" s="974">
        <v>6000</v>
      </c>
      <c r="I110" s="974">
        <v>18</v>
      </c>
      <c r="J110" s="974">
        <v>86</v>
      </c>
      <c r="K110" s="974">
        <v>370</v>
      </c>
      <c r="L110" s="974">
        <v>0.6</v>
      </c>
      <c r="M110" s="974">
        <v>480</v>
      </c>
      <c r="N110" s="974">
        <v>80</v>
      </c>
      <c r="O110" s="974">
        <v>1.5</v>
      </c>
      <c r="P110" s="974">
        <v>0.1</v>
      </c>
      <c r="Q110" s="974">
        <v>0.27</v>
      </c>
      <c r="R110" s="974">
        <v>0.36</v>
      </c>
    </row>
    <row r="111" spans="1:18" x14ac:dyDescent="0.35">
      <c r="A111" s="974" t="s">
        <v>403</v>
      </c>
      <c r="B111" s="974" t="s">
        <v>1787</v>
      </c>
      <c r="C111" s="974">
        <v>1400</v>
      </c>
      <c r="D111" s="974">
        <v>-31</v>
      </c>
      <c r="E111" s="974">
        <v>-33</v>
      </c>
      <c r="F111" s="974">
        <v>27</v>
      </c>
      <c r="G111" s="974">
        <v>16</v>
      </c>
      <c r="H111" s="974">
        <v>5500</v>
      </c>
      <c r="I111" s="974">
        <v>18</v>
      </c>
      <c r="J111" s="974">
        <v>65</v>
      </c>
      <c r="K111" s="974">
        <v>300</v>
      </c>
      <c r="L111" s="974">
        <v>0.6</v>
      </c>
      <c r="M111" s="974">
        <v>500</v>
      </c>
      <c r="N111" s="974">
        <v>120</v>
      </c>
      <c r="O111" s="974">
        <v>3.3</v>
      </c>
      <c r="P111" s="974">
        <v>0.1</v>
      </c>
      <c r="Q111" s="974">
        <v>0.26</v>
      </c>
      <c r="R111" s="974">
        <v>0.32</v>
      </c>
    </row>
    <row r="112" spans="1:18" x14ac:dyDescent="0.35">
      <c r="A112" s="974" t="s">
        <v>403</v>
      </c>
      <c r="B112" s="974" t="s">
        <v>1788</v>
      </c>
      <c r="C112" s="974">
        <v>645</v>
      </c>
      <c r="D112" s="974">
        <v>-33</v>
      </c>
      <c r="E112" s="974">
        <v>-36</v>
      </c>
      <c r="F112" s="974">
        <v>27</v>
      </c>
      <c r="G112" s="974">
        <v>19</v>
      </c>
      <c r="H112" s="974">
        <v>5740</v>
      </c>
      <c r="I112" s="974">
        <v>20</v>
      </c>
      <c r="J112" s="974">
        <v>86</v>
      </c>
      <c r="K112" s="974">
        <v>375</v>
      </c>
      <c r="L112" s="974">
        <v>0.6</v>
      </c>
      <c r="M112" s="974">
        <v>475</v>
      </c>
      <c r="N112" s="974">
        <v>100</v>
      </c>
      <c r="O112" s="974">
        <v>1.7</v>
      </c>
      <c r="P112" s="974">
        <v>0.1</v>
      </c>
      <c r="Q112" s="974">
        <v>0.35</v>
      </c>
      <c r="R112" s="974">
        <v>0.44</v>
      </c>
    </row>
    <row r="113" spans="1:18" x14ac:dyDescent="0.35">
      <c r="A113" s="974" t="s">
        <v>403</v>
      </c>
      <c r="B113" s="974" t="s">
        <v>1789</v>
      </c>
      <c r="C113" s="974">
        <v>730</v>
      </c>
      <c r="D113" s="974">
        <v>-36</v>
      </c>
      <c r="E113" s="974">
        <v>-39</v>
      </c>
      <c r="F113" s="974">
        <v>28</v>
      </c>
      <c r="G113" s="974">
        <v>18</v>
      </c>
      <c r="H113" s="974">
        <v>5700</v>
      </c>
      <c r="I113" s="974">
        <v>20</v>
      </c>
      <c r="J113" s="974">
        <v>86</v>
      </c>
      <c r="K113" s="974">
        <v>315</v>
      </c>
      <c r="L113" s="974">
        <v>0.5</v>
      </c>
      <c r="M113" s="974">
        <v>470</v>
      </c>
      <c r="N113" s="974">
        <v>100</v>
      </c>
      <c r="O113" s="974">
        <v>2.4</v>
      </c>
      <c r="P113" s="974">
        <v>0.1</v>
      </c>
      <c r="Q113" s="974">
        <v>0.27</v>
      </c>
      <c r="R113" s="974">
        <v>0.36</v>
      </c>
    </row>
    <row r="114" spans="1:18" x14ac:dyDescent="0.35">
      <c r="A114" s="974" t="s">
        <v>403</v>
      </c>
      <c r="B114" s="974" t="s">
        <v>1790</v>
      </c>
      <c r="C114" s="974">
        <v>760</v>
      </c>
      <c r="D114" s="974">
        <v>-32</v>
      </c>
      <c r="E114" s="974">
        <v>-34</v>
      </c>
      <c r="F114" s="974">
        <v>32</v>
      </c>
      <c r="G114" s="974">
        <v>20</v>
      </c>
      <c r="H114" s="974">
        <v>4880</v>
      </c>
      <c r="I114" s="974">
        <v>18</v>
      </c>
      <c r="J114" s="974">
        <v>86</v>
      </c>
      <c r="K114" s="974">
        <v>260</v>
      </c>
      <c r="L114" s="974">
        <v>0.3</v>
      </c>
      <c r="M114" s="974">
        <v>340</v>
      </c>
      <c r="N114" s="974">
        <v>220</v>
      </c>
      <c r="O114" s="974">
        <v>1.2</v>
      </c>
      <c r="P114" s="974">
        <v>0.1</v>
      </c>
      <c r="Q114" s="974">
        <v>0.35</v>
      </c>
      <c r="R114" s="974">
        <v>0.44</v>
      </c>
    </row>
    <row r="115" spans="1:18" x14ac:dyDescent="0.35">
      <c r="A115" s="974" t="s">
        <v>403</v>
      </c>
      <c r="B115" s="974" t="s">
        <v>438</v>
      </c>
      <c r="C115" s="974">
        <v>1045</v>
      </c>
      <c r="D115" s="974">
        <v>-30</v>
      </c>
      <c r="E115" s="974">
        <v>-32</v>
      </c>
      <c r="F115" s="974">
        <v>28</v>
      </c>
      <c r="G115" s="974">
        <v>17</v>
      </c>
      <c r="H115" s="974">
        <v>5000</v>
      </c>
      <c r="I115" s="974">
        <v>23</v>
      </c>
      <c r="J115" s="974">
        <v>103</v>
      </c>
      <c r="K115" s="974">
        <v>325</v>
      </c>
      <c r="L115" s="974">
        <v>0.4</v>
      </c>
      <c r="M115" s="974">
        <v>425</v>
      </c>
      <c r="N115" s="974">
        <v>220</v>
      </c>
      <c r="O115" s="974">
        <v>1.1000000000000001</v>
      </c>
      <c r="P115" s="974">
        <v>0.1</v>
      </c>
      <c r="Q115" s="974">
        <v>0.38</v>
      </c>
      <c r="R115" s="974">
        <v>0.48</v>
      </c>
    </row>
    <row r="116" spans="1:18" x14ac:dyDescent="0.35">
      <c r="A116" s="974" t="s">
        <v>403</v>
      </c>
      <c r="B116" s="974" t="s">
        <v>1791</v>
      </c>
      <c r="C116" s="974">
        <v>660</v>
      </c>
      <c r="D116" s="974">
        <v>-33</v>
      </c>
      <c r="E116" s="974">
        <v>-36</v>
      </c>
      <c r="F116" s="974">
        <v>27</v>
      </c>
      <c r="G116" s="974">
        <v>19</v>
      </c>
      <c r="H116" s="974">
        <v>5750</v>
      </c>
      <c r="I116" s="974">
        <v>20</v>
      </c>
      <c r="J116" s="974">
        <v>86</v>
      </c>
      <c r="K116" s="974">
        <v>375</v>
      </c>
      <c r="L116" s="974">
        <v>0.6</v>
      </c>
      <c r="M116" s="974">
        <v>475</v>
      </c>
      <c r="N116" s="974">
        <v>100</v>
      </c>
      <c r="O116" s="974">
        <v>1.7</v>
      </c>
      <c r="P116" s="974">
        <v>0.1</v>
      </c>
      <c r="Q116" s="974">
        <v>0.33</v>
      </c>
      <c r="R116" s="974">
        <v>0.44</v>
      </c>
    </row>
    <row r="117" spans="1:18" x14ac:dyDescent="0.35">
      <c r="A117" s="974" t="s">
        <v>403</v>
      </c>
      <c r="B117" s="974" t="s">
        <v>1792</v>
      </c>
      <c r="C117" s="974">
        <v>740</v>
      </c>
      <c r="D117" s="974">
        <v>-33</v>
      </c>
      <c r="E117" s="974">
        <v>-35</v>
      </c>
      <c r="F117" s="974">
        <v>29</v>
      </c>
      <c r="G117" s="974">
        <v>19</v>
      </c>
      <c r="H117" s="974">
        <v>5500</v>
      </c>
      <c r="I117" s="974">
        <v>20</v>
      </c>
      <c r="J117" s="974">
        <v>86</v>
      </c>
      <c r="K117" s="974">
        <v>355</v>
      </c>
      <c r="L117" s="974">
        <v>0.5</v>
      </c>
      <c r="M117" s="974">
        <v>470</v>
      </c>
      <c r="N117" s="974">
        <v>160</v>
      </c>
      <c r="O117" s="974">
        <v>2</v>
      </c>
      <c r="P117" s="974">
        <v>0.1</v>
      </c>
      <c r="Q117" s="974">
        <v>0.31</v>
      </c>
      <c r="R117" s="974">
        <v>0.39</v>
      </c>
    </row>
    <row r="118" spans="1:18" x14ac:dyDescent="0.35">
      <c r="A118" s="974" t="s">
        <v>403</v>
      </c>
      <c r="B118" s="974" t="s">
        <v>1793</v>
      </c>
      <c r="C118" s="974">
        <v>1320</v>
      </c>
      <c r="D118" s="974">
        <v>-31</v>
      </c>
      <c r="E118" s="974">
        <v>-33</v>
      </c>
      <c r="F118" s="974">
        <v>28</v>
      </c>
      <c r="G118" s="974">
        <v>17</v>
      </c>
      <c r="H118" s="974">
        <v>5400</v>
      </c>
      <c r="I118" s="974">
        <v>18</v>
      </c>
      <c r="J118" s="974">
        <v>86</v>
      </c>
      <c r="K118" s="974">
        <v>325</v>
      </c>
      <c r="L118" s="974">
        <v>0.6</v>
      </c>
      <c r="M118" s="974">
        <v>500</v>
      </c>
      <c r="N118" s="974">
        <v>120</v>
      </c>
      <c r="O118" s="974">
        <v>3.2</v>
      </c>
      <c r="P118" s="974">
        <v>0.1</v>
      </c>
      <c r="Q118" s="974">
        <v>0.3</v>
      </c>
      <c r="R118" s="974">
        <v>0.37</v>
      </c>
    </row>
    <row r="119" spans="1:18" x14ac:dyDescent="0.35">
      <c r="A119" s="974" t="s">
        <v>403</v>
      </c>
      <c r="B119" s="974" t="s">
        <v>1794</v>
      </c>
      <c r="C119" s="974">
        <v>1130</v>
      </c>
      <c r="D119" s="974">
        <v>-29</v>
      </c>
      <c r="E119" s="974">
        <v>-32</v>
      </c>
      <c r="F119" s="974">
        <v>30</v>
      </c>
      <c r="G119" s="974">
        <v>19</v>
      </c>
      <c r="H119" s="974">
        <v>4700</v>
      </c>
      <c r="I119" s="974">
        <v>20</v>
      </c>
      <c r="J119" s="974">
        <v>108</v>
      </c>
      <c r="K119" s="974">
        <v>340</v>
      </c>
      <c r="L119" s="974">
        <v>0.4</v>
      </c>
      <c r="M119" s="974">
        <v>550</v>
      </c>
      <c r="N119" s="974">
        <v>140</v>
      </c>
      <c r="O119" s="974">
        <v>1.5</v>
      </c>
      <c r="P119" s="974">
        <v>0.1</v>
      </c>
      <c r="Q119" s="974">
        <v>0.57999999999999996</v>
      </c>
      <c r="R119" s="974">
        <v>0.72</v>
      </c>
    </row>
    <row r="120" spans="1:18" x14ac:dyDescent="0.35">
      <c r="A120" s="974" t="s">
        <v>403</v>
      </c>
      <c r="B120" s="974" t="s">
        <v>1795</v>
      </c>
      <c r="C120" s="974">
        <v>1030</v>
      </c>
      <c r="D120" s="974">
        <v>-30</v>
      </c>
      <c r="E120" s="974">
        <v>-32</v>
      </c>
      <c r="F120" s="974">
        <v>30</v>
      </c>
      <c r="G120" s="974">
        <v>18</v>
      </c>
      <c r="H120" s="974">
        <v>4680</v>
      </c>
      <c r="I120" s="974">
        <v>15</v>
      </c>
      <c r="J120" s="974">
        <v>97</v>
      </c>
      <c r="K120" s="974">
        <v>310</v>
      </c>
      <c r="L120" s="974">
        <v>0.4</v>
      </c>
      <c r="M120" s="974">
        <v>440</v>
      </c>
      <c r="N120" s="974">
        <v>200</v>
      </c>
      <c r="O120" s="974">
        <v>1.3</v>
      </c>
      <c r="P120" s="974">
        <v>0.1</v>
      </c>
      <c r="Q120" s="974">
        <v>0.46</v>
      </c>
      <c r="R120" s="974">
        <v>0.57999999999999996</v>
      </c>
    </row>
    <row r="121" spans="1:18" x14ac:dyDescent="0.35">
      <c r="A121" s="974" t="s">
        <v>403</v>
      </c>
      <c r="B121" s="974" t="s">
        <v>1796</v>
      </c>
      <c r="C121" s="974">
        <v>540</v>
      </c>
      <c r="D121" s="974">
        <v>-35</v>
      </c>
      <c r="E121" s="974">
        <v>-38</v>
      </c>
      <c r="F121" s="974">
        <v>28</v>
      </c>
      <c r="G121" s="974">
        <v>19</v>
      </c>
      <c r="H121" s="974">
        <v>5860</v>
      </c>
      <c r="I121" s="974">
        <v>18</v>
      </c>
      <c r="J121" s="974">
        <v>81</v>
      </c>
      <c r="K121" s="974">
        <v>320</v>
      </c>
      <c r="L121" s="974">
        <v>0.5</v>
      </c>
      <c r="M121" s="974">
        <v>430</v>
      </c>
      <c r="N121" s="974">
        <v>140</v>
      </c>
      <c r="O121" s="974">
        <v>1.7</v>
      </c>
      <c r="P121" s="974">
        <v>0.1</v>
      </c>
      <c r="Q121" s="974">
        <v>0.28999999999999998</v>
      </c>
      <c r="R121" s="974">
        <v>0.38</v>
      </c>
    </row>
    <row r="122" spans="1:18" x14ac:dyDescent="0.35">
      <c r="A122" s="974" t="s">
        <v>403</v>
      </c>
      <c r="B122" s="974" t="s">
        <v>1797</v>
      </c>
      <c r="C122" s="974">
        <v>1320</v>
      </c>
      <c r="D122" s="974">
        <v>-31</v>
      </c>
      <c r="E122" s="974">
        <v>-34</v>
      </c>
      <c r="F122" s="974">
        <v>29</v>
      </c>
      <c r="G122" s="974">
        <v>18</v>
      </c>
      <c r="H122" s="974">
        <v>5210</v>
      </c>
      <c r="I122" s="974">
        <v>15</v>
      </c>
      <c r="J122" s="974">
        <v>86</v>
      </c>
      <c r="K122" s="974">
        <v>400</v>
      </c>
      <c r="L122" s="974">
        <v>0.5</v>
      </c>
      <c r="M122" s="974">
        <v>550</v>
      </c>
      <c r="N122" s="974">
        <v>120</v>
      </c>
      <c r="O122" s="974">
        <v>2.7</v>
      </c>
      <c r="P122" s="974">
        <v>0.3</v>
      </c>
      <c r="Q122" s="974">
        <v>0.5</v>
      </c>
      <c r="R122" s="974">
        <v>0.63</v>
      </c>
    </row>
    <row r="123" spans="1:18" x14ac:dyDescent="0.35">
      <c r="A123" s="974" t="s">
        <v>403</v>
      </c>
      <c r="B123" s="974" t="s">
        <v>1798</v>
      </c>
      <c r="C123" s="974">
        <v>790</v>
      </c>
      <c r="D123" s="974">
        <v>-32</v>
      </c>
      <c r="E123" s="974">
        <v>-34</v>
      </c>
      <c r="F123" s="974">
        <v>30</v>
      </c>
      <c r="G123" s="974">
        <v>19</v>
      </c>
      <c r="H123" s="974">
        <v>5640</v>
      </c>
      <c r="I123" s="974">
        <v>20</v>
      </c>
      <c r="J123" s="974">
        <v>92</v>
      </c>
      <c r="K123" s="974">
        <v>300</v>
      </c>
      <c r="L123" s="974">
        <v>0.5</v>
      </c>
      <c r="M123" s="974">
        <v>400</v>
      </c>
      <c r="N123" s="974">
        <v>200</v>
      </c>
      <c r="O123" s="974">
        <v>1.9</v>
      </c>
      <c r="P123" s="974">
        <v>0.1</v>
      </c>
      <c r="Q123" s="974">
        <v>0.3</v>
      </c>
      <c r="R123" s="974">
        <v>0.37</v>
      </c>
    </row>
    <row r="124" spans="1:18" x14ac:dyDescent="0.35">
      <c r="A124" s="974" t="s">
        <v>403</v>
      </c>
      <c r="B124" s="974" t="s">
        <v>1799</v>
      </c>
      <c r="C124" s="974">
        <v>1175</v>
      </c>
      <c r="D124" s="974">
        <v>-29</v>
      </c>
      <c r="E124" s="974">
        <v>-32</v>
      </c>
      <c r="F124" s="974">
        <v>29</v>
      </c>
      <c r="G124" s="974">
        <v>18</v>
      </c>
      <c r="H124" s="974">
        <v>4810</v>
      </c>
      <c r="I124" s="974">
        <v>15</v>
      </c>
      <c r="J124" s="974">
        <v>92</v>
      </c>
      <c r="K124" s="974">
        <v>310</v>
      </c>
      <c r="L124" s="974">
        <v>0.4</v>
      </c>
      <c r="M124" s="974">
        <v>525</v>
      </c>
      <c r="N124" s="974">
        <v>140</v>
      </c>
      <c r="O124" s="974">
        <v>1.6</v>
      </c>
      <c r="P124" s="974">
        <v>0.1</v>
      </c>
      <c r="Q124" s="974">
        <v>0.81</v>
      </c>
      <c r="R124" s="974">
        <v>1.01</v>
      </c>
    </row>
    <row r="125" spans="1:18" x14ac:dyDescent="0.35">
      <c r="A125" s="974" t="s">
        <v>403</v>
      </c>
      <c r="B125" s="974" t="s">
        <v>1800</v>
      </c>
      <c r="C125" s="974">
        <v>685</v>
      </c>
      <c r="D125" s="974">
        <v>-32</v>
      </c>
      <c r="E125" s="974">
        <v>-34</v>
      </c>
      <c r="F125" s="974">
        <v>30</v>
      </c>
      <c r="G125" s="974">
        <v>18</v>
      </c>
      <c r="H125" s="974">
        <v>5050</v>
      </c>
      <c r="I125" s="974">
        <v>20</v>
      </c>
      <c r="J125" s="974">
        <v>86</v>
      </c>
      <c r="K125" s="974">
        <v>300</v>
      </c>
      <c r="L125" s="974">
        <v>0.4</v>
      </c>
      <c r="M125" s="974">
        <v>375</v>
      </c>
      <c r="N125" s="974">
        <v>220</v>
      </c>
      <c r="O125" s="974">
        <v>1.2</v>
      </c>
      <c r="P125" s="974">
        <v>0.1</v>
      </c>
      <c r="Q125" s="974">
        <v>0.35</v>
      </c>
      <c r="R125" s="974">
        <v>0.44</v>
      </c>
    </row>
    <row r="126" spans="1:18" x14ac:dyDescent="0.35">
      <c r="A126" s="974" t="s">
        <v>403</v>
      </c>
      <c r="B126" s="974" t="s">
        <v>1801</v>
      </c>
      <c r="C126" s="974">
        <v>645</v>
      </c>
      <c r="D126" s="974">
        <v>-30</v>
      </c>
      <c r="E126" s="974">
        <v>-33</v>
      </c>
      <c r="F126" s="974">
        <v>28</v>
      </c>
      <c r="G126" s="974">
        <v>19</v>
      </c>
      <c r="H126" s="974">
        <v>5120</v>
      </c>
      <c r="I126" s="974">
        <v>23</v>
      </c>
      <c r="J126" s="974">
        <v>97</v>
      </c>
      <c r="K126" s="974">
        <v>360</v>
      </c>
      <c r="L126" s="974">
        <v>0.5</v>
      </c>
      <c r="M126" s="974">
        <v>460</v>
      </c>
      <c r="N126" s="974">
        <v>160</v>
      </c>
      <c r="O126" s="974">
        <v>1.7</v>
      </c>
      <c r="P126" s="974">
        <v>0.1</v>
      </c>
      <c r="Q126" s="974">
        <v>0.36</v>
      </c>
      <c r="R126" s="974">
        <v>0.45</v>
      </c>
    </row>
    <row r="127" spans="1:18" x14ac:dyDescent="0.35">
      <c r="A127" s="974" t="s">
        <v>403</v>
      </c>
      <c r="B127" s="974" t="s">
        <v>1802</v>
      </c>
      <c r="C127" s="974">
        <v>920</v>
      </c>
      <c r="D127" s="974">
        <v>-34</v>
      </c>
      <c r="E127" s="974">
        <v>-37</v>
      </c>
      <c r="F127" s="974">
        <v>27</v>
      </c>
      <c r="G127" s="974">
        <v>18</v>
      </c>
      <c r="H127" s="974">
        <v>5750</v>
      </c>
      <c r="I127" s="974">
        <v>18</v>
      </c>
      <c r="J127" s="974">
        <v>81</v>
      </c>
      <c r="K127" s="974">
        <v>450</v>
      </c>
      <c r="L127" s="974">
        <v>0.6</v>
      </c>
      <c r="M127" s="974">
        <v>570</v>
      </c>
      <c r="N127" s="974">
        <v>100</v>
      </c>
      <c r="O127" s="974">
        <v>2.1</v>
      </c>
      <c r="P127" s="974">
        <v>0.1</v>
      </c>
      <c r="Q127" s="974">
        <v>0.37</v>
      </c>
      <c r="R127" s="974">
        <v>0.46</v>
      </c>
    </row>
    <row r="128" spans="1:18" x14ac:dyDescent="0.35">
      <c r="A128" s="974" t="s">
        <v>403</v>
      </c>
      <c r="B128" s="974" t="s">
        <v>1803</v>
      </c>
      <c r="C128" s="974">
        <v>220</v>
      </c>
      <c r="D128" s="974">
        <v>-41</v>
      </c>
      <c r="E128" s="974">
        <v>-43</v>
      </c>
      <c r="F128" s="974">
        <v>28</v>
      </c>
      <c r="G128" s="974">
        <v>19</v>
      </c>
      <c r="H128" s="974">
        <v>7100</v>
      </c>
      <c r="I128" s="974">
        <v>12</v>
      </c>
      <c r="J128" s="974">
        <v>81</v>
      </c>
      <c r="K128" s="974">
        <v>250</v>
      </c>
      <c r="L128" s="974">
        <v>0.6</v>
      </c>
      <c r="M128" s="974">
        <v>390</v>
      </c>
      <c r="N128" s="974">
        <v>80</v>
      </c>
      <c r="O128" s="974">
        <v>2.2000000000000002</v>
      </c>
      <c r="P128" s="974">
        <v>0.1</v>
      </c>
      <c r="Q128" s="974">
        <v>0.28000000000000003</v>
      </c>
      <c r="R128" s="974">
        <v>0.37</v>
      </c>
    </row>
    <row r="129" spans="1:18" x14ac:dyDescent="0.35">
      <c r="A129" s="974" t="s">
        <v>403</v>
      </c>
      <c r="B129" s="974" t="s">
        <v>1804</v>
      </c>
      <c r="C129" s="974">
        <v>670</v>
      </c>
      <c r="D129" s="974">
        <v>-37</v>
      </c>
      <c r="E129" s="974">
        <v>-40</v>
      </c>
      <c r="F129" s="974">
        <v>27</v>
      </c>
      <c r="G129" s="974">
        <v>18</v>
      </c>
      <c r="H129" s="974">
        <v>5840</v>
      </c>
      <c r="I129" s="974">
        <v>15</v>
      </c>
      <c r="J129" s="974">
        <v>86</v>
      </c>
      <c r="K129" s="974">
        <v>330</v>
      </c>
      <c r="L129" s="974">
        <v>0.5</v>
      </c>
      <c r="M129" s="974">
        <v>450</v>
      </c>
      <c r="N129" s="974">
        <v>100</v>
      </c>
      <c r="O129" s="974">
        <v>2.4</v>
      </c>
      <c r="P129" s="974">
        <v>0.1</v>
      </c>
      <c r="Q129" s="974">
        <v>0.26</v>
      </c>
      <c r="R129" s="974">
        <v>0.35</v>
      </c>
    </row>
    <row r="130" spans="1:18" x14ac:dyDescent="0.35">
      <c r="A130" s="974" t="s">
        <v>403</v>
      </c>
      <c r="B130" s="974" t="s">
        <v>405</v>
      </c>
      <c r="C130" s="974">
        <v>945</v>
      </c>
      <c r="D130" s="974">
        <v>-30</v>
      </c>
      <c r="E130" s="974">
        <v>-32</v>
      </c>
      <c r="F130" s="974">
        <v>31</v>
      </c>
      <c r="G130" s="974">
        <v>19</v>
      </c>
      <c r="H130" s="974">
        <v>4600</v>
      </c>
      <c r="I130" s="974">
        <v>16</v>
      </c>
      <c r="J130" s="974">
        <v>97</v>
      </c>
      <c r="K130" s="974">
        <v>300</v>
      </c>
      <c r="L130" s="974">
        <v>0.4</v>
      </c>
      <c r="M130" s="974">
        <v>425</v>
      </c>
      <c r="N130" s="974">
        <v>180</v>
      </c>
      <c r="O130" s="974">
        <v>1.2</v>
      </c>
      <c r="P130" s="974">
        <v>0.1</v>
      </c>
      <c r="Q130" s="974">
        <v>0.54</v>
      </c>
      <c r="R130" s="974">
        <v>0.68</v>
      </c>
    </row>
    <row r="131" spans="1:18" x14ac:dyDescent="0.35">
      <c r="A131" s="974" t="s">
        <v>403</v>
      </c>
      <c r="B131" s="974" t="s">
        <v>1805</v>
      </c>
      <c r="C131" s="974">
        <v>255</v>
      </c>
      <c r="D131" s="974">
        <v>-38</v>
      </c>
      <c r="E131" s="974">
        <v>-40</v>
      </c>
      <c r="F131" s="974">
        <v>28</v>
      </c>
      <c r="G131" s="974">
        <v>19</v>
      </c>
      <c r="H131" s="974">
        <v>6250</v>
      </c>
      <c r="I131" s="974">
        <v>13</v>
      </c>
      <c r="J131" s="974">
        <v>86</v>
      </c>
      <c r="K131" s="974">
        <v>340</v>
      </c>
      <c r="L131" s="974">
        <v>0.5</v>
      </c>
      <c r="M131" s="974">
        <v>460</v>
      </c>
      <c r="N131" s="974">
        <v>60</v>
      </c>
      <c r="O131" s="974">
        <v>1.5</v>
      </c>
      <c r="P131" s="974">
        <v>0.1</v>
      </c>
      <c r="Q131" s="974">
        <v>0.28000000000000003</v>
      </c>
      <c r="R131" s="974">
        <v>0.35</v>
      </c>
    </row>
    <row r="132" spans="1:18" x14ac:dyDescent="0.35">
      <c r="A132" s="974" t="s">
        <v>403</v>
      </c>
      <c r="B132" s="974" t="s">
        <v>1806</v>
      </c>
      <c r="C132" s="974">
        <v>610</v>
      </c>
      <c r="D132" s="974">
        <v>-32</v>
      </c>
      <c r="E132" s="974">
        <v>-35</v>
      </c>
      <c r="F132" s="974">
        <v>28</v>
      </c>
      <c r="G132" s="974">
        <v>19</v>
      </c>
      <c r="H132" s="974">
        <v>5420</v>
      </c>
      <c r="I132" s="974">
        <v>20</v>
      </c>
      <c r="J132" s="974">
        <v>86</v>
      </c>
      <c r="K132" s="974">
        <v>350</v>
      </c>
      <c r="L132" s="974">
        <v>0.5</v>
      </c>
      <c r="M132" s="974">
        <v>425</v>
      </c>
      <c r="N132" s="974">
        <v>140</v>
      </c>
      <c r="O132" s="974">
        <v>1.6</v>
      </c>
      <c r="P132" s="974">
        <v>0.1</v>
      </c>
      <c r="Q132" s="974">
        <v>0.34</v>
      </c>
      <c r="R132" s="974">
        <v>0.43</v>
      </c>
    </row>
    <row r="133" spans="1:18" x14ac:dyDescent="0.35">
      <c r="A133" s="974" t="s">
        <v>403</v>
      </c>
      <c r="B133" s="974" t="s">
        <v>1807</v>
      </c>
      <c r="C133" s="974">
        <v>270</v>
      </c>
      <c r="D133" s="974">
        <v>-41</v>
      </c>
      <c r="E133" s="974">
        <v>-43</v>
      </c>
      <c r="F133" s="974">
        <v>28</v>
      </c>
      <c r="G133" s="974">
        <v>18</v>
      </c>
      <c r="H133" s="974">
        <v>6700</v>
      </c>
      <c r="I133" s="974">
        <v>13</v>
      </c>
      <c r="J133" s="974">
        <v>70</v>
      </c>
      <c r="K133" s="974">
        <v>250</v>
      </c>
      <c r="L133" s="974">
        <v>0.5</v>
      </c>
      <c r="M133" s="974">
        <v>380</v>
      </c>
      <c r="N133" s="974">
        <v>60</v>
      </c>
      <c r="O133" s="974">
        <v>2.1</v>
      </c>
      <c r="P133" s="974">
        <v>0.1</v>
      </c>
      <c r="Q133" s="974">
        <v>0.23</v>
      </c>
      <c r="R133" s="974">
        <v>0.3</v>
      </c>
    </row>
    <row r="134" spans="1:18" x14ac:dyDescent="0.35">
      <c r="A134" s="974" t="s">
        <v>403</v>
      </c>
      <c r="B134" s="974" t="s">
        <v>1808</v>
      </c>
      <c r="C134" s="974">
        <v>650</v>
      </c>
      <c r="D134" s="974">
        <v>-36</v>
      </c>
      <c r="E134" s="974">
        <v>-39</v>
      </c>
      <c r="F134" s="974">
        <v>27</v>
      </c>
      <c r="G134" s="974">
        <v>18</v>
      </c>
      <c r="H134" s="974">
        <v>5790</v>
      </c>
      <c r="I134" s="974">
        <v>20</v>
      </c>
      <c r="J134" s="974">
        <v>86</v>
      </c>
      <c r="K134" s="974">
        <v>315</v>
      </c>
      <c r="L134" s="974">
        <v>0.5</v>
      </c>
      <c r="M134" s="974">
        <v>450</v>
      </c>
      <c r="N134" s="974">
        <v>120</v>
      </c>
      <c r="O134" s="974">
        <v>2.2000000000000002</v>
      </c>
      <c r="P134" s="974">
        <v>0.1</v>
      </c>
      <c r="Q134" s="974">
        <v>0.32</v>
      </c>
      <c r="R134" s="974">
        <v>0.43</v>
      </c>
    </row>
    <row r="135" spans="1:18" x14ac:dyDescent="0.35">
      <c r="A135" s="974" t="s">
        <v>403</v>
      </c>
      <c r="B135" s="974" t="s">
        <v>1809</v>
      </c>
      <c r="C135" s="974">
        <v>335</v>
      </c>
      <c r="D135" s="974">
        <v>-41</v>
      </c>
      <c r="E135" s="974">
        <v>-43</v>
      </c>
      <c r="F135" s="974">
        <v>28</v>
      </c>
      <c r="G135" s="974">
        <v>18</v>
      </c>
      <c r="H135" s="974">
        <v>6750</v>
      </c>
      <c r="I135" s="974">
        <v>13</v>
      </c>
      <c r="J135" s="974">
        <v>70</v>
      </c>
      <c r="K135" s="974">
        <v>275</v>
      </c>
      <c r="L135" s="974">
        <v>0.5</v>
      </c>
      <c r="M135" s="974">
        <v>425</v>
      </c>
      <c r="N135" s="974">
        <v>60</v>
      </c>
      <c r="O135" s="974">
        <v>2.4</v>
      </c>
      <c r="P135" s="974">
        <v>0.1</v>
      </c>
      <c r="Q135" s="974">
        <v>0.23</v>
      </c>
      <c r="R135" s="974">
        <v>0.3</v>
      </c>
    </row>
    <row r="136" spans="1:18" x14ac:dyDescent="0.35">
      <c r="A136" s="974" t="s">
        <v>403</v>
      </c>
      <c r="B136" s="974" t="s">
        <v>1810</v>
      </c>
      <c r="C136" s="974">
        <v>615</v>
      </c>
      <c r="D136" s="974">
        <v>-33</v>
      </c>
      <c r="E136" s="974">
        <v>-36</v>
      </c>
      <c r="F136" s="974">
        <v>30</v>
      </c>
      <c r="G136" s="974">
        <v>19</v>
      </c>
      <c r="H136" s="974">
        <v>5640</v>
      </c>
      <c r="I136" s="974">
        <v>20</v>
      </c>
      <c r="J136" s="974">
        <v>81</v>
      </c>
      <c r="K136" s="974">
        <v>325</v>
      </c>
      <c r="L136" s="974">
        <v>0.5</v>
      </c>
      <c r="M136" s="974">
        <v>425</v>
      </c>
      <c r="N136" s="974">
        <v>140</v>
      </c>
      <c r="O136" s="974">
        <v>1.7</v>
      </c>
      <c r="P136" s="974">
        <v>0.1</v>
      </c>
      <c r="Q136" s="974">
        <v>0.28999999999999998</v>
      </c>
      <c r="R136" s="974">
        <v>0.36</v>
      </c>
    </row>
    <row r="137" spans="1:18" x14ac:dyDescent="0.35">
      <c r="A137" s="974" t="s">
        <v>403</v>
      </c>
      <c r="B137" s="974" t="s">
        <v>1811</v>
      </c>
      <c r="C137" s="974">
        <v>1040</v>
      </c>
      <c r="D137" s="974">
        <v>-31</v>
      </c>
      <c r="E137" s="974">
        <v>-32</v>
      </c>
      <c r="F137" s="974">
        <v>28</v>
      </c>
      <c r="G137" s="974">
        <v>17</v>
      </c>
      <c r="H137" s="974">
        <v>4900</v>
      </c>
      <c r="I137" s="974">
        <v>18</v>
      </c>
      <c r="J137" s="974">
        <v>97</v>
      </c>
      <c r="K137" s="974">
        <v>300</v>
      </c>
      <c r="L137" s="974">
        <v>0.4</v>
      </c>
      <c r="M137" s="974">
        <v>425</v>
      </c>
      <c r="N137" s="974">
        <v>200</v>
      </c>
      <c r="O137" s="974">
        <v>1.3</v>
      </c>
      <c r="P137" s="974">
        <v>0.1</v>
      </c>
      <c r="Q137" s="974">
        <v>0.52</v>
      </c>
      <c r="R137" s="974">
        <v>0.65</v>
      </c>
    </row>
    <row r="138" spans="1:18" x14ac:dyDescent="0.35">
      <c r="A138" s="974" t="s">
        <v>403</v>
      </c>
      <c r="B138" s="974" t="s">
        <v>1812</v>
      </c>
      <c r="C138" s="974">
        <v>990</v>
      </c>
      <c r="D138" s="974">
        <v>-34</v>
      </c>
      <c r="E138" s="974">
        <v>-38</v>
      </c>
      <c r="F138" s="974">
        <v>27</v>
      </c>
      <c r="G138" s="974">
        <v>17</v>
      </c>
      <c r="H138" s="974">
        <v>5500</v>
      </c>
      <c r="I138" s="974">
        <v>13</v>
      </c>
      <c r="J138" s="974">
        <v>81</v>
      </c>
      <c r="K138" s="974">
        <v>375</v>
      </c>
      <c r="L138" s="974">
        <v>0.6</v>
      </c>
      <c r="M138" s="974">
        <v>500</v>
      </c>
      <c r="N138" s="974">
        <v>100</v>
      </c>
      <c r="O138" s="974">
        <v>2.6</v>
      </c>
      <c r="P138" s="974">
        <v>0.1</v>
      </c>
      <c r="Q138" s="974">
        <v>0.37</v>
      </c>
      <c r="R138" s="974">
        <v>0.46</v>
      </c>
    </row>
    <row r="139" spans="1:18" x14ac:dyDescent="0.35">
      <c r="A139" s="974" t="s">
        <v>403</v>
      </c>
      <c r="B139" s="974" t="s">
        <v>1813</v>
      </c>
      <c r="C139" s="974">
        <v>1060</v>
      </c>
      <c r="D139" s="974">
        <v>-31</v>
      </c>
      <c r="E139" s="974">
        <v>-34</v>
      </c>
      <c r="F139" s="974">
        <v>28</v>
      </c>
      <c r="G139" s="974">
        <v>17</v>
      </c>
      <c r="H139" s="974">
        <v>5300</v>
      </c>
      <c r="I139" s="974">
        <v>12</v>
      </c>
      <c r="J139" s="974">
        <v>76</v>
      </c>
      <c r="K139" s="974">
        <v>300</v>
      </c>
      <c r="L139" s="974">
        <v>0.5</v>
      </c>
      <c r="M139" s="974">
        <v>400</v>
      </c>
      <c r="N139" s="974">
        <v>80</v>
      </c>
      <c r="O139" s="974">
        <v>3</v>
      </c>
      <c r="P139" s="974">
        <v>0.1</v>
      </c>
      <c r="Q139" s="974">
        <v>0.26</v>
      </c>
      <c r="R139" s="974">
        <v>0.32</v>
      </c>
    </row>
    <row r="140" spans="1:18" x14ac:dyDescent="0.35">
      <c r="A140" s="974" t="s">
        <v>403</v>
      </c>
      <c r="B140" s="974" t="s">
        <v>1814</v>
      </c>
      <c r="C140" s="974">
        <v>420</v>
      </c>
      <c r="D140" s="974">
        <v>-40</v>
      </c>
      <c r="E140" s="974">
        <v>-42</v>
      </c>
      <c r="F140" s="974">
        <v>28</v>
      </c>
      <c r="G140" s="974">
        <v>18</v>
      </c>
      <c r="H140" s="974">
        <v>6520</v>
      </c>
      <c r="I140" s="974">
        <v>13</v>
      </c>
      <c r="J140" s="974">
        <v>70</v>
      </c>
      <c r="K140" s="974">
        <v>310</v>
      </c>
      <c r="L140" s="974">
        <v>0.5</v>
      </c>
      <c r="M140" s="974">
        <v>450</v>
      </c>
      <c r="N140" s="974">
        <v>80</v>
      </c>
      <c r="O140" s="974">
        <v>2.4</v>
      </c>
      <c r="P140" s="974">
        <v>0.1</v>
      </c>
      <c r="Q140" s="974">
        <v>0.23</v>
      </c>
      <c r="R140" s="974">
        <v>0.3</v>
      </c>
    </row>
    <row r="141" spans="1:18" x14ac:dyDescent="0.35">
      <c r="A141" s="974" t="s">
        <v>403</v>
      </c>
      <c r="B141" s="974" t="s">
        <v>1815</v>
      </c>
      <c r="C141" s="974">
        <v>560</v>
      </c>
      <c r="D141" s="974">
        <v>-35</v>
      </c>
      <c r="E141" s="974">
        <v>-38</v>
      </c>
      <c r="F141" s="974">
        <v>28</v>
      </c>
      <c r="G141" s="974">
        <v>19</v>
      </c>
      <c r="H141" s="974">
        <v>6100</v>
      </c>
      <c r="I141" s="974">
        <v>15</v>
      </c>
      <c r="J141" s="974">
        <v>86</v>
      </c>
      <c r="K141" s="974">
        <v>375</v>
      </c>
      <c r="L141" s="974">
        <v>0.6</v>
      </c>
      <c r="M141" s="974">
        <v>475</v>
      </c>
      <c r="N141" s="974">
        <v>80</v>
      </c>
      <c r="O141" s="974">
        <v>1.6</v>
      </c>
      <c r="P141" s="974">
        <v>0.1</v>
      </c>
      <c r="Q141" s="974">
        <v>0.27</v>
      </c>
      <c r="R141" s="974">
        <v>0.36</v>
      </c>
    </row>
    <row r="142" spans="1:18" x14ac:dyDescent="0.35">
      <c r="A142" s="974" t="s">
        <v>403</v>
      </c>
      <c r="B142" s="974" t="s">
        <v>1816</v>
      </c>
      <c r="C142" s="974">
        <v>855</v>
      </c>
      <c r="D142" s="974">
        <v>-33</v>
      </c>
      <c r="E142" s="974">
        <v>-36</v>
      </c>
      <c r="F142" s="974">
        <v>28</v>
      </c>
      <c r="G142" s="974">
        <v>19</v>
      </c>
      <c r="H142" s="974">
        <v>5500</v>
      </c>
      <c r="I142" s="974">
        <v>23</v>
      </c>
      <c r="J142" s="974">
        <v>92</v>
      </c>
      <c r="K142" s="974">
        <v>350</v>
      </c>
      <c r="L142" s="974">
        <v>0.5</v>
      </c>
      <c r="M142" s="974">
        <v>450</v>
      </c>
      <c r="N142" s="974">
        <v>180</v>
      </c>
      <c r="O142" s="974">
        <v>1.9</v>
      </c>
      <c r="P142" s="974">
        <v>0.1</v>
      </c>
      <c r="Q142" s="974">
        <v>0.32</v>
      </c>
      <c r="R142" s="974">
        <v>0.4</v>
      </c>
    </row>
    <row r="143" spans="1:18" x14ac:dyDescent="0.35">
      <c r="A143" s="974" t="s">
        <v>403</v>
      </c>
      <c r="B143" s="974" t="s">
        <v>1817</v>
      </c>
      <c r="C143" s="974">
        <v>910</v>
      </c>
      <c r="D143" s="974">
        <v>-30</v>
      </c>
      <c r="E143" s="974">
        <v>-32</v>
      </c>
      <c r="F143" s="974">
        <v>31</v>
      </c>
      <c r="G143" s="974">
        <v>19</v>
      </c>
      <c r="H143" s="974">
        <v>4500</v>
      </c>
      <c r="I143" s="974">
        <v>20</v>
      </c>
      <c r="J143" s="974">
        <v>97</v>
      </c>
      <c r="K143" s="974">
        <v>250</v>
      </c>
      <c r="L143" s="974">
        <v>0.3</v>
      </c>
      <c r="M143" s="974">
        <v>390</v>
      </c>
      <c r="N143" s="974">
        <v>200</v>
      </c>
      <c r="O143" s="974">
        <v>1.2</v>
      </c>
      <c r="P143" s="974">
        <v>0.1</v>
      </c>
      <c r="Q143" s="974">
        <v>0.53</v>
      </c>
      <c r="R143" s="974">
        <v>0.66</v>
      </c>
    </row>
    <row r="144" spans="1:18" x14ac:dyDescent="0.35">
      <c r="A144" s="974" t="s">
        <v>403</v>
      </c>
      <c r="B144" s="974" t="s">
        <v>1818</v>
      </c>
      <c r="C144" s="974">
        <v>465</v>
      </c>
      <c r="D144" s="974">
        <v>-39</v>
      </c>
      <c r="E144" s="974">
        <v>-41</v>
      </c>
      <c r="F144" s="974">
        <v>27</v>
      </c>
      <c r="G144" s="974">
        <v>18</v>
      </c>
      <c r="H144" s="974">
        <v>6300</v>
      </c>
      <c r="I144" s="974">
        <v>13</v>
      </c>
      <c r="J144" s="974">
        <v>76</v>
      </c>
      <c r="K144" s="974">
        <v>280</v>
      </c>
      <c r="L144" s="974">
        <v>0.5</v>
      </c>
      <c r="M144" s="974">
        <v>390</v>
      </c>
      <c r="N144" s="974">
        <v>80</v>
      </c>
      <c r="O144" s="974">
        <v>2.2999999999999998</v>
      </c>
      <c r="P144" s="974">
        <v>0.1</v>
      </c>
      <c r="Q144" s="974">
        <v>0.23</v>
      </c>
      <c r="R144" s="974">
        <v>0.3</v>
      </c>
    </row>
    <row r="145" spans="1:18" x14ac:dyDescent="0.35">
      <c r="A145" s="974" t="s">
        <v>403</v>
      </c>
      <c r="B145" s="974" t="s">
        <v>1819</v>
      </c>
      <c r="C145" s="974">
        <v>705</v>
      </c>
      <c r="D145" s="974">
        <v>-31</v>
      </c>
      <c r="E145" s="974">
        <v>-34</v>
      </c>
      <c r="F145" s="974">
        <v>32</v>
      </c>
      <c r="G145" s="974">
        <v>19</v>
      </c>
      <c r="H145" s="974">
        <v>4540</v>
      </c>
      <c r="I145" s="974">
        <v>23</v>
      </c>
      <c r="J145" s="974">
        <v>92</v>
      </c>
      <c r="K145" s="974">
        <v>250</v>
      </c>
      <c r="L145" s="974">
        <v>0.3</v>
      </c>
      <c r="M145" s="974">
        <v>325</v>
      </c>
      <c r="N145" s="974">
        <v>220</v>
      </c>
      <c r="O145" s="974">
        <v>1.1000000000000001</v>
      </c>
      <c r="P145" s="974">
        <v>0.1</v>
      </c>
      <c r="Q145" s="974">
        <v>0.38</v>
      </c>
      <c r="R145" s="974">
        <v>0.48</v>
      </c>
    </row>
    <row r="146" spans="1:18" x14ac:dyDescent="0.35">
      <c r="A146" s="974" t="s">
        <v>403</v>
      </c>
      <c r="B146" s="974" t="s">
        <v>1820</v>
      </c>
      <c r="C146" s="974">
        <v>330</v>
      </c>
      <c r="D146" s="974">
        <v>-37</v>
      </c>
      <c r="E146" s="974">
        <v>-40</v>
      </c>
      <c r="F146" s="974">
        <v>27</v>
      </c>
      <c r="G146" s="974">
        <v>18</v>
      </c>
      <c r="H146" s="974">
        <v>6050</v>
      </c>
      <c r="I146" s="974">
        <v>15</v>
      </c>
      <c r="J146" s="974">
        <v>81</v>
      </c>
      <c r="K146" s="974">
        <v>300</v>
      </c>
      <c r="L146" s="974">
        <v>0.5</v>
      </c>
      <c r="M146" s="974">
        <v>390</v>
      </c>
      <c r="N146" s="974">
        <v>100</v>
      </c>
      <c r="O146" s="974">
        <v>2.2000000000000002</v>
      </c>
      <c r="P146" s="974">
        <v>0.1</v>
      </c>
      <c r="Q146" s="974">
        <v>0.24</v>
      </c>
      <c r="R146" s="974">
        <v>0.32</v>
      </c>
    </row>
    <row r="147" spans="1:18" x14ac:dyDescent="0.35">
      <c r="A147" s="974" t="s">
        <v>403</v>
      </c>
      <c r="B147" s="974" t="s">
        <v>1821</v>
      </c>
      <c r="C147" s="974">
        <v>1130</v>
      </c>
      <c r="D147" s="974">
        <v>-29</v>
      </c>
      <c r="E147" s="974">
        <v>-32</v>
      </c>
      <c r="F147" s="974">
        <v>29</v>
      </c>
      <c r="G147" s="974">
        <v>18</v>
      </c>
      <c r="H147" s="974">
        <v>4740</v>
      </c>
      <c r="I147" s="974">
        <v>16</v>
      </c>
      <c r="J147" s="974">
        <v>103</v>
      </c>
      <c r="K147" s="974">
        <v>325</v>
      </c>
      <c r="L147" s="974">
        <v>0.4</v>
      </c>
      <c r="M147" s="974">
        <v>575</v>
      </c>
      <c r="N147" s="974">
        <v>140</v>
      </c>
      <c r="O147" s="974">
        <v>1.5</v>
      </c>
      <c r="P147" s="974">
        <v>0.1</v>
      </c>
      <c r="Q147" s="974">
        <v>0.77</v>
      </c>
      <c r="R147" s="974">
        <v>0.96</v>
      </c>
    </row>
    <row r="148" spans="1:18" x14ac:dyDescent="0.35">
      <c r="A148" s="974" t="s">
        <v>403</v>
      </c>
      <c r="B148" s="974" t="s">
        <v>1822</v>
      </c>
      <c r="C148" s="974">
        <v>670</v>
      </c>
      <c r="D148" s="974">
        <v>-34</v>
      </c>
      <c r="E148" s="974">
        <v>-37</v>
      </c>
      <c r="F148" s="974">
        <v>29</v>
      </c>
      <c r="G148" s="974">
        <v>19</v>
      </c>
      <c r="H148" s="974">
        <v>5700</v>
      </c>
      <c r="I148" s="974">
        <v>18</v>
      </c>
      <c r="J148" s="974">
        <v>92</v>
      </c>
      <c r="K148" s="974">
        <v>325</v>
      </c>
      <c r="L148" s="974">
        <v>0.5</v>
      </c>
      <c r="M148" s="974">
        <v>420</v>
      </c>
      <c r="N148" s="974">
        <v>100</v>
      </c>
      <c r="O148" s="974">
        <v>1.9</v>
      </c>
      <c r="P148" s="974">
        <v>0.1</v>
      </c>
      <c r="Q148" s="974">
        <v>0.28999999999999998</v>
      </c>
      <c r="R148" s="974">
        <v>0.36</v>
      </c>
    </row>
    <row r="149" spans="1:18" x14ac:dyDescent="0.35">
      <c r="A149" s="974" t="s">
        <v>403</v>
      </c>
      <c r="B149" s="974" t="s">
        <v>1823</v>
      </c>
      <c r="C149" s="974">
        <v>855</v>
      </c>
      <c r="D149" s="974">
        <v>-32</v>
      </c>
      <c r="E149" s="974">
        <v>-35</v>
      </c>
      <c r="F149" s="974">
        <v>28</v>
      </c>
      <c r="G149" s="974">
        <v>19</v>
      </c>
      <c r="H149" s="974">
        <v>5550</v>
      </c>
      <c r="I149" s="974">
        <v>20</v>
      </c>
      <c r="J149" s="974">
        <v>97</v>
      </c>
      <c r="K149" s="974">
        <v>375</v>
      </c>
      <c r="L149" s="974">
        <v>0.5</v>
      </c>
      <c r="M149" s="974">
        <v>475</v>
      </c>
      <c r="N149" s="974">
        <v>200</v>
      </c>
      <c r="O149" s="974">
        <v>1.8</v>
      </c>
      <c r="P149" s="974">
        <v>0.1</v>
      </c>
      <c r="Q149" s="974">
        <v>0.32</v>
      </c>
      <c r="R149" s="974">
        <v>0.4</v>
      </c>
    </row>
    <row r="150" spans="1:18" x14ac:dyDescent="0.35">
      <c r="A150" s="974" t="s">
        <v>403</v>
      </c>
      <c r="B150" s="974" t="s">
        <v>1824</v>
      </c>
      <c r="C150" s="974">
        <v>985</v>
      </c>
      <c r="D150" s="974">
        <v>-32</v>
      </c>
      <c r="E150" s="974">
        <v>-34</v>
      </c>
      <c r="F150" s="974">
        <v>27</v>
      </c>
      <c r="G150" s="974">
        <v>18</v>
      </c>
      <c r="H150" s="974">
        <v>5640</v>
      </c>
      <c r="I150" s="974">
        <v>20</v>
      </c>
      <c r="J150" s="974">
        <v>92</v>
      </c>
      <c r="K150" s="974">
        <v>425</v>
      </c>
      <c r="L150" s="974">
        <v>0.6</v>
      </c>
      <c r="M150" s="974">
        <v>550</v>
      </c>
      <c r="N150" s="974">
        <v>120</v>
      </c>
      <c r="O150" s="974">
        <v>1.9</v>
      </c>
      <c r="P150" s="974">
        <v>0.1</v>
      </c>
      <c r="Q150" s="974">
        <v>0.28999999999999998</v>
      </c>
      <c r="R150" s="974">
        <v>0.36</v>
      </c>
    </row>
    <row r="151" spans="1:18" x14ac:dyDescent="0.35">
      <c r="A151" s="974" t="s">
        <v>403</v>
      </c>
      <c r="B151" s="974" t="s">
        <v>1825</v>
      </c>
      <c r="C151" s="974">
        <v>590</v>
      </c>
      <c r="D151" s="974">
        <v>-35</v>
      </c>
      <c r="E151" s="974">
        <v>-38</v>
      </c>
      <c r="F151" s="974">
        <v>26</v>
      </c>
      <c r="G151" s="974">
        <v>19</v>
      </c>
      <c r="H151" s="974">
        <v>5850</v>
      </c>
      <c r="I151" s="974">
        <v>15</v>
      </c>
      <c r="J151" s="974">
        <v>81</v>
      </c>
      <c r="K151" s="974">
        <v>380</v>
      </c>
      <c r="L151" s="974">
        <v>0.6</v>
      </c>
      <c r="M151" s="974">
        <v>500</v>
      </c>
      <c r="N151" s="974">
        <v>80</v>
      </c>
      <c r="O151" s="974">
        <v>1.9</v>
      </c>
      <c r="P151" s="974">
        <v>0.1</v>
      </c>
      <c r="Q151" s="974">
        <v>0.28000000000000003</v>
      </c>
      <c r="R151" s="974">
        <v>0.37</v>
      </c>
    </row>
    <row r="152" spans="1:18" x14ac:dyDescent="0.35">
      <c r="A152" s="974" t="s">
        <v>403</v>
      </c>
      <c r="B152" s="974" t="s">
        <v>1826</v>
      </c>
      <c r="C152" s="974">
        <v>820</v>
      </c>
      <c r="D152" s="974">
        <v>-32</v>
      </c>
      <c r="E152" s="974">
        <v>-34</v>
      </c>
      <c r="F152" s="974">
        <v>30</v>
      </c>
      <c r="G152" s="974">
        <v>19</v>
      </c>
      <c r="H152" s="974">
        <v>5300</v>
      </c>
      <c r="I152" s="974">
        <v>20</v>
      </c>
      <c r="J152" s="974">
        <v>97</v>
      </c>
      <c r="K152" s="974">
        <v>370</v>
      </c>
      <c r="L152" s="974">
        <v>0.5</v>
      </c>
      <c r="M152" s="974">
        <v>450</v>
      </c>
      <c r="N152" s="974">
        <v>200</v>
      </c>
      <c r="O152" s="974">
        <v>1.9</v>
      </c>
      <c r="P152" s="974">
        <v>0.1</v>
      </c>
      <c r="Q152" s="974">
        <v>0.28999999999999998</v>
      </c>
      <c r="R152" s="974">
        <v>0.36</v>
      </c>
    </row>
    <row r="153" spans="1:18" x14ac:dyDescent="0.35">
      <c r="A153" s="974" t="s">
        <v>403</v>
      </c>
      <c r="B153" s="974" t="s">
        <v>1827</v>
      </c>
      <c r="C153" s="974">
        <v>710</v>
      </c>
      <c r="D153" s="974">
        <v>-32</v>
      </c>
      <c r="E153" s="974">
        <v>-35</v>
      </c>
      <c r="F153" s="974">
        <v>28</v>
      </c>
      <c r="G153" s="974">
        <v>19</v>
      </c>
      <c r="H153" s="974">
        <v>5300</v>
      </c>
      <c r="I153" s="974">
        <v>23</v>
      </c>
      <c r="J153" s="974">
        <v>97</v>
      </c>
      <c r="K153" s="974">
        <v>410</v>
      </c>
      <c r="L153" s="974">
        <v>0.5</v>
      </c>
      <c r="M153" s="974">
        <v>540</v>
      </c>
      <c r="N153" s="974">
        <v>120</v>
      </c>
      <c r="O153" s="974">
        <v>1.7</v>
      </c>
      <c r="P153" s="974">
        <v>0.1</v>
      </c>
      <c r="Q153" s="974">
        <v>0.36</v>
      </c>
      <c r="R153" s="974">
        <v>0.45</v>
      </c>
    </row>
    <row r="154" spans="1:18" x14ac:dyDescent="0.35">
      <c r="A154" s="974" t="s">
        <v>403</v>
      </c>
      <c r="B154" s="974" t="s">
        <v>1828</v>
      </c>
      <c r="C154" s="974">
        <v>755</v>
      </c>
      <c r="D154" s="974">
        <v>-31</v>
      </c>
      <c r="E154" s="974">
        <v>-34</v>
      </c>
      <c r="F154" s="974">
        <v>32</v>
      </c>
      <c r="G154" s="974">
        <v>20</v>
      </c>
      <c r="H154" s="974">
        <v>4770</v>
      </c>
      <c r="I154" s="974">
        <v>20</v>
      </c>
      <c r="J154" s="974">
        <v>86</v>
      </c>
      <c r="K154" s="974">
        <v>230</v>
      </c>
      <c r="L154" s="974">
        <v>0.2</v>
      </c>
      <c r="M154" s="974">
        <v>325</v>
      </c>
      <c r="N154" s="974">
        <v>220</v>
      </c>
      <c r="O154" s="974">
        <v>1.3</v>
      </c>
      <c r="P154" s="974">
        <v>0.1</v>
      </c>
      <c r="Q154" s="974">
        <v>0.39</v>
      </c>
      <c r="R154" s="974">
        <v>0.49</v>
      </c>
    </row>
    <row r="155" spans="1:18" x14ac:dyDescent="0.35">
      <c r="A155" s="974" t="s">
        <v>403</v>
      </c>
      <c r="B155" s="974" t="s">
        <v>1829</v>
      </c>
      <c r="C155" s="974">
        <v>815</v>
      </c>
      <c r="D155" s="974">
        <v>-31</v>
      </c>
      <c r="E155" s="974">
        <v>-33</v>
      </c>
      <c r="F155" s="974">
        <v>31</v>
      </c>
      <c r="G155" s="974">
        <v>19</v>
      </c>
      <c r="H155" s="974">
        <v>4580</v>
      </c>
      <c r="I155" s="974">
        <v>20</v>
      </c>
      <c r="J155" s="974">
        <v>92</v>
      </c>
      <c r="K155" s="974">
        <v>260</v>
      </c>
      <c r="L155" s="974">
        <v>0.3</v>
      </c>
      <c r="M155" s="974">
        <v>370</v>
      </c>
      <c r="N155" s="974">
        <v>200</v>
      </c>
      <c r="O155" s="974">
        <v>1.2</v>
      </c>
      <c r="P155" s="974">
        <v>0.1</v>
      </c>
      <c r="Q155" s="974">
        <v>0.5</v>
      </c>
      <c r="R155" s="974">
        <v>0.63</v>
      </c>
    </row>
    <row r="156" spans="1:18" x14ac:dyDescent="0.35">
      <c r="A156" s="974" t="s">
        <v>403</v>
      </c>
      <c r="B156" s="974" t="s">
        <v>1830</v>
      </c>
      <c r="C156" s="974">
        <v>1215</v>
      </c>
      <c r="D156" s="974">
        <v>-31</v>
      </c>
      <c r="E156" s="974">
        <v>-32</v>
      </c>
      <c r="F156" s="974">
        <v>28</v>
      </c>
      <c r="G156" s="974">
        <v>17</v>
      </c>
      <c r="H156" s="974">
        <v>5220</v>
      </c>
      <c r="I156" s="974">
        <v>20</v>
      </c>
      <c r="J156" s="974">
        <v>97</v>
      </c>
      <c r="K156" s="974">
        <v>350</v>
      </c>
      <c r="L156" s="974">
        <v>0.5</v>
      </c>
      <c r="M156" s="974">
        <v>600</v>
      </c>
      <c r="N156" s="974">
        <v>180</v>
      </c>
      <c r="O156" s="974">
        <v>1.4</v>
      </c>
      <c r="P156" s="974">
        <v>0.1</v>
      </c>
      <c r="Q156" s="974">
        <v>0.52</v>
      </c>
      <c r="R156" s="974">
        <v>0.65</v>
      </c>
    </row>
    <row r="157" spans="1:18" x14ac:dyDescent="0.35">
      <c r="A157" s="974" t="s">
        <v>403</v>
      </c>
      <c r="B157" s="974" t="s">
        <v>1831</v>
      </c>
      <c r="C157" s="974">
        <v>700</v>
      </c>
      <c r="D157" s="974">
        <v>-37</v>
      </c>
      <c r="E157" s="974">
        <v>-40</v>
      </c>
      <c r="F157" s="974">
        <v>27</v>
      </c>
      <c r="G157" s="974">
        <v>18</v>
      </c>
      <c r="H157" s="974">
        <v>5600</v>
      </c>
      <c r="I157" s="974">
        <v>18</v>
      </c>
      <c r="J157" s="974">
        <v>86</v>
      </c>
      <c r="K157" s="974">
        <v>360</v>
      </c>
      <c r="L157" s="974">
        <v>0.5</v>
      </c>
      <c r="M157" s="974">
        <v>490</v>
      </c>
      <c r="N157" s="974">
        <v>80</v>
      </c>
      <c r="O157" s="974">
        <v>2.2999999999999998</v>
      </c>
      <c r="P157" s="974">
        <v>0.1</v>
      </c>
      <c r="Q157" s="974">
        <v>0.34</v>
      </c>
      <c r="R157" s="974">
        <v>0.42</v>
      </c>
    </row>
    <row r="158" spans="1:18" x14ac:dyDescent="0.35">
      <c r="A158" s="974" t="s">
        <v>403</v>
      </c>
      <c r="B158" s="974" t="s">
        <v>1832</v>
      </c>
      <c r="C158" s="974">
        <v>635</v>
      </c>
      <c r="D158" s="974">
        <v>-34</v>
      </c>
      <c r="E158" s="974">
        <v>-37</v>
      </c>
      <c r="F158" s="974">
        <v>29</v>
      </c>
      <c r="G158" s="974">
        <v>19</v>
      </c>
      <c r="H158" s="974">
        <v>5780</v>
      </c>
      <c r="I158" s="974">
        <v>18</v>
      </c>
      <c r="J158" s="974">
        <v>86</v>
      </c>
      <c r="K158" s="974">
        <v>325</v>
      </c>
      <c r="L158" s="974">
        <v>0.5</v>
      </c>
      <c r="M158" s="974">
        <v>410</v>
      </c>
      <c r="N158" s="974">
        <v>100</v>
      </c>
      <c r="O158" s="974">
        <v>1.9</v>
      </c>
      <c r="P158" s="974">
        <v>0.1</v>
      </c>
      <c r="Q158" s="974">
        <v>0.28999999999999998</v>
      </c>
      <c r="R158" s="974">
        <v>0.36</v>
      </c>
    </row>
    <row r="159" spans="1:18" x14ac:dyDescent="0.35">
      <c r="A159" s="974" t="s">
        <v>403</v>
      </c>
      <c r="B159" s="974" t="s">
        <v>1833</v>
      </c>
      <c r="C159" s="974">
        <v>580</v>
      </c>
      <c r="D159" s="974">
        <v>-35</v>
      </c>
      <c r="E159" s="974">
        <v>-38</v>
      </c>
      <c r="F159" s="974">
        <v>29</v>
      </c>
      <c r="G159" s="974">
        <v>19</v>
      </c>
      <c r="H159" s="974">
        <v>5740</v>
      </c>
      <c r="I159" s="974">
        <v>18</v>
      </c>
      <c r="J159" s="974">
        <v>86</v>
      </c>
      <c r="K159" s="974">
        <v>310</v>
      </c>
      <c r="L159" s="974">
        <v>0.5</v>
      </c>
      <c r="M159" s="974">
        <v>410</v>
      </c>
      <c r="N159" s="974">
        <v>100</v>
      </c>
      <c r="O159" s="974">
        <v>1.7</v>
      </c>
      <c r="P159" s="974">
        <v>0.1</v>
      </c>
      <c r="Q159" s="974">
        <v>0.28999999999999998</v>
      </c>
      <c r="R159" s="974">
        <v>0.36</v>
      </c>
    </row>
    <row r="160" spans="1:18" x14ac:dyDescent="0.35">
      <c r="A160" s="974" t="s">
        <v>403</v>
      </c>
      <c r="B160" s="974" t="s">
        <v>1834</v>
      </c>
      <c r="C160" s="974">
        <v>585</v>
      </c>
      <c r="D160" s="974">
        <v>-35</v>
      </c>
      <c r="E160" s="974">
        <v>-38</v>
      </c>
      <c r="F160" s="974">
        <v>26</v>
      </c>
      <c r="G160" s="974">
        <v>19</v>
      </c>
      <c r="H160" s="974">
        <v>5850</v>
      </c>
      <c r="I160" s="974">
        <v>15</v>
      </c>
      <c r="J160" s="974">
        <v>81</v>
      </c>
      <c r="K160" s="974">
        <v>380</v>
      </c>
      <c r="L160" s="974">
        <v>0.6</v>
      </c>
      <c r="M160" s="974">
        <v>500</v>
      </c>
      <c r="N160" s="974">
        <v>80</v>
      </c>
      <c r="O160" s="974">
        <v>1.9</v>
      </c>
      <c r="P160" s="974">
        <v>0.1</v>
      </c>
      <c r="Q160" s="974">
        <v>0.28000000000000003</v>
      </c>
      <c r="R160" s="974">
        <v>0.37</v>
      </c>
    </row>
    <row r="161" spans="1:18" x14ac:dyDescent="0.35">
      <c r="A161" s="974" t="s">
        <v>403</v>
      </c>
      <c r="B161" s="974" t="s">
        <v>1835</v>
      </c>
      <c r="C161" s="974">
        <v>675</v>
      </c>
      <c r="D161" s="974">
        <v>-33</v>
      </c>
      <c r="E161" s="974">
        <v>-36</v>
      </c>
      <c r="F161" s="974">
        <v>29</v>
      </c>
      <c r="G161" s="974">
        <v>19</v>
      </c>
      <c r="H161" s="974">
        <v>5700</v>
      </c>
      <c r="I161" s="974">
        <v>20</v>
      </c>
      <c r="J161" s="974">
        <v>81</v>
      </c>
      <c r="K161" s="974">
        <v>310</v>
      </c>
      <c r="L161" s="974">
        <v>0.5</v>
      </c>
      <c r="M161" s="974">
        <v>425</v>
      </c>
      <c r="N161" s="974">
        <v>120</v>
      </c>
      <c r="O161" s="974">
        <v>2</v>
      </c>
      <c r="P161" s="974">
        <v>0.1</v>
      </c>
      <c r="Q161" s="974">
        <v>0.28999999999999998</v>
      </c>
      <c r="R161" s="974">
        <v>0.36</v>
      </c>
    </row>
    <row r="162" spans="1:18" x14ac:dyDescent="0.35">
      <c r="A162" s="974" t="s">
        <v>403</v>
      </c>
      <c r="B162" s="974" t="s">
        <v>1836</v>
      </c>
      <c r="C162" s="974">
        <v>760</v>
      </c>
      <c r="D162" s="974">
        <v>-33</v>
      </c>
      <c r="E162" s="974">
        <v>-35</v>
      </c>
      <c r="F162" s="974">
        <v>29</v>
      </c>
      <c r="G162" s="974">
        <v>19</v>
      </c>
      <c r="H162" s="974">
        <v>5500</v>
      </c>
      <c r="I162" s="974">
        <v>23</v>
      </c>
      <c r="J162" s="974">
        <v>86</v>
      </c>
      <c r="K162" s="974">
        <v>400</v>
      </c>
      <c r="L162" s="974">
        <v>0.6</v>
      </c>
      <c r="M162" s="974">
        <v>500</v>
      </c>
      <c r="N162" s="974">
        <v>160</v>
      </c>
      <c r="O162" s="974">
        <v>2</v>
      </c>
      <c r="P162" s="974">
        <v>0.1</v>
      </c>
      <c r="Q162" s="974">
        <v>0.31</v>
      </c>
      <c r="R162" s="974">
        <v>0.39</v>
      </c>
    </row>
    <row r="163" spans="1:18" x14ac:dyDescent="0.35">
      <c r="A163" s="974" t="s">
        <v>403</v>
      </c>
      <c r="B163" s="974" t="s">
        <v>1837</v>
      </c>
      <c r="C163" s="974">
        <v>690</v>
      </c>
      <c r="D163" s="974">
        <v>-33</v>
      </c>
      <c r="E163" s="974">
        <v>-36</v>
      </c>
      <c r="F163" s="974">
        <v>27</v>
      </c>
      <c r="G163" s="974">
        <v>19</v>
      </c>
      <c r="H163" s="974">
        <v>5650</v>
      </c>
      <c r="I163" s="974">
        <v>20</v>
      </c>
      <c r="J163" s="974">
        <v>97</v>
      </c>
      <c r="K163" s="974">
        <v>440</v>
      </c>
      <c r="L163" s="974">
        <v>0.6</v>
      </c>
      <c r="M163" s="974">
        <v>550</v>
      </c>
      <c r="N163" s="974">
        <v>80</v>
      </c>
      <c r="O163" s="974">
        <v>1.9</v>
      </c>
      <c r="P163" s="974">
        <v>0.1</v>
      </c>
      <c r="Q163" s="974">
        <v>0.28000000000000003</v>
      </c>
      <c r="R163" s="974">
        <v>0.37</v>
      </c>
    </row>
    <row r="164" spans="1:18" x14ac:dyDescent="0.35">
      <c r="A164" s="974" t="s">
        <v>403</v>
      </c>
      <c r="B164" s="974" t="s">
        <v>1838</v>
      </c>
      <c r="C164" s="974">
        <v>975</v>
      </c>
      <c r="D164" s="974">
        <v>-31</v>
      </c>
      <c r="E164" s="974">
        <v>-34</v>
      </c>
      <c r="F164" s="974">
        <v>29</v>
      </c>
      <c r="G164" s="974">
        <v>18</v>
      </c>
      <c r="H164" s="974">
        <v>5310</v>
      </c>
      <c r="I164" s="974">
        <v>23</v>
      </c>
      <c r="J164" s="974">
        <v>92</v>
      </c>
      <c r="K164" s="974">
        <v>325</v>
      </c>
      <c r="L164" s="974">
        <v>0.5</v>
      </c>
      <c r="M164" s="974">
        <v>450</v>
      </c>
      <c r="N164" s="974">
        <v>200</v>
      </c>
      <c r="O164" s="974">
        <v>1.6</v>
      </c>
      <c r="P164" s="974">
        <v>0.1</v>
      </c>
      <c r="Q164" s="974">
        <v>0.32</v>
      </c>
      <c r="R164" s="974">
        <v>0.4</v>
      </c>
    </row>
    <row r="165" spans="1:18" x14ac:dyDescent="0.35">
      <c r="A165" s="974" t="s">
        <v>1839</v>
      </c>
      <c r="B165" s="974" t="s">
        <v>1840</v>
      </c>
      <c r="C165" s="974">
        <v>740</v>
      </c>
      <c r="D165" s="974">
        <v>-32</v>
      </c>
      <c r="E165" s="974">
        <v>-34</v>
      </c>
      <c r="F165" s="974">
        <v>31</v>
      </c>
      <c r="G165" s="974">
        <v>21</v>
      </c>
      <c r="H165" s="974">
        <v>5180</v>
      </c>
      <c r="I165" s="974">
        <v>25</v>
      </c>
      <c r="J165" s="974">
        <v>81</v>
      </c>
      <c r="K165" s="974">
        <v>290</v>
      </c>
      <c r="L165" s="974">
        <v>0.3</v>
      </c>
      <c r="M165" s="974">
        <v>375</v>
      </c>
      <c r="N165" s="974">
        <v>240</v>
      </c>
      <c r="O165" s="974">
        <v>1.6</v>
      </c>
      <c r="P165" s="974">
        <v>0.1</v>
      </c>
      <c r="Q165" s="974">
        <v>0.39</v>
      </c>
      <c r="R165" s="974">
        <v>0.49</v>
      </c>
    </row>
    <row r="166" spans="1:18" x14ac:dyDescent="0.35">
      <c r="A166" s="974" t="s">
        <v>1839</v>
      </c>
      <c r="B166" s="974" t="s">
        <v>1841</v>
      </c>
      <c r="C166" s="974">
        <v>700</v>
      </c>
      <c r="D166" s="974">
        <v>-32</v>
      </c>
      <c r="E166" s="974">
        <v>-34</v>
      </c>
      <c r="F166" s="974">
        <v>32</v>
      </c>
      <c r="G166" s="974">
        <v>20</v>
      </c>
      <c r="H166" s="974">
        <v>5080</v>
      </c>
      <c r="I166" s="974">
        <v>23</v>
      </c>
      <c r="J166" s="974">
        <v>81</v>
      </c>
      <c r="K166" s="974">
        <v>270</v>
      </c>
      <c r="L166" s="974">
        <v>0.4</v>
      </c>
      <c r="M166" s="974">
        <v>350</v>
      </c>
      <c r="N166" s="974">
        <v>260</v>
      </c>
      <c r="O166" s="974">
        <v>1.2</v>
      </c>
      <c r="P166" s="974">
        <v>0.1</v>
      </c>
      <c r="Q166" s="974">
        <v>0.43</v>
      </c>
      <c r="R166" s="974">
        <v>0.54</v>
      </c>
    </row>
    <row r="167" spans="1:18" x14ac:dyDescent="0.35">
      <c r="A167" s="974" t="s">
        <v>1839</v>
      </c>
      <c r="B167" s="974" t="s">
        <v>1842</v>
      </c>
      <c r="C167" s="974">
        <v>645</v>
      </c>
      <c r="D167" s="974">
        <v>-34</v>
      </c>
      <c r="E167" s="974">
        <v>-36</v>
      </c>
      <c r="F167" s="974">
        <v>30</v>
      </c>
      <c r="G167" s="974">
        <v>20</v>
      </c>
      <c r="H167" s="974">
        <v>5720</v>
      </c>
      <c r="I167" s="974">
        <v>23</v>
      </c>
      <c r="J167" s="974">
        <v>81</v>
      </c>
      <c r="K167" s="974">
        <v>270</v>
      </c>
      <c r="L167" s="974">
        <v>0.4</v>
      </c>
      <c r="M167" s="974">
        <v>350</v>
      </c>
      <c r="N167" s="974">
        <v>180</v>
      </c>
      <c r="O167" s="974">
        <v>2.1</v>
      </c>
      <c r="P167" s="974">
        <v>0.1</v>
      </c>
      <c r="Q167" s="974">
        <v>0.36</v>
      </c>
      <c r="R167" s="974">
        <v>0.45</v>
      </c>
    </row>
    <row r="168" spans="1:18" x14ac:dyDescent="0.35">
      <c r="A168" s="974" t="s">
        <v>1839</v>
      </c>
      <c r="B168" s="974" t="s">
        <v>1843</v>
      </c>
      <c r="C168" s="974">
        <v>600</v>
      </c>
      <c r="D168" s="974">
        <v>-34</v>
      </c>
      <c r="E168" s="974">
        <v>-35</v>
      </c>
      <c r="F168" s="974">
        <v>30</v>
      </c>
      <c r="G168" s="974">
        <v>21</v>
      </c>
      <c r="H168" s="974">
        <v>5760</v>
      </c>
      <c r="I168" s="974">
        <v>25</v>
      </c>
      <c r="J168" s="974">
        <v>103</v>
      </c>
      <c r="K168" s="974">
        <v>320</v>
      </c>
      <c r="L168" s="974">
        <v>0.5</v>
      </c>
      <c r="M168" s="974">
        <v>420</v>
      </c>
      <c r="N168" s="974">
        <v>160</v>
      </c>
      <c r="O168" s="974">
        <v>1.7</v>
      </c>
      <c r="P168" s="974">
        <v>0.1</v>
      </c>
      <c r="Q168" s="974">
        <v>0.36</v>
      </c>
      <c r="R168" s="974">
        <v>0.46</v>
      </c>
    </row>
    <row r="169" spans="1:18" x14ac:dyDescent="0.35">
      <c r="A169" s="974" t="s">
        <v>1839</v>
      </c>
      <c r="B169" s="974" t="s">
        <v>1844</v>
      </c>
      <c r="C169" s="974">
        <v>530</v>
      </c>
      <c r="D169" s="974">
        <v>-35</v>
      </c>
      <c r="E169" s="974">
        <v>-37</v>
      </c>
      <c r="F169" s="974">
        <v>29</v>
      </c>
      <c r="G169" s="974">
        <v>21</v>
      </c>
      <c r="H169" s="974">
        <v>5860</v>
      </c>
      <c r="I169" s="974">
        <v>20</v>
      </c>
      <c r="J169" s="974">
        <v>92</v>
      </c>
      <c r="K169" s="974">
        <v>300</v>
      </c>
      <c r="L169" s="974">
        <v>0.5</v>
      </c>
      <c r="M169" s="974">
        <v>380</v>
      </c>
      <c r="N169" s="974">
        <v>140</v>
      </c>
      <c r="O169" s="974">
        <v>1.7</v>
      </c>
      <c r="P169" s="974">
        <v>0.1</v>
      </c>
      <c r="Q169" s="974">
        <v>0.28999999999999998</v>
      </c>
      <c r="R169" s="974">
        <v>0.37</v>
      </c>
    </row>
    <row r="170" spans="1:18" x14ac:dyDescent="0.35">
      <c r="A170" s="974" t="s">
        <v>1839</v>
      </c>
      <c r="B170" s="974" t="s">
        <v>1845</v>
      </c>
      <c r="C170" s="974">
        <v>525</v>
      </c>
      <c r="D170" s="974">
        <v>-35</v>
      </c>
      <c r="E170" s="974">
        <v>-37</v>
      </c>
      <c r="F170" s="974">
        <v>30</v>
      </c>
      <c r="G170" s="974">
        <v>21</v>
      </c>
      <c r="H170" s="974">
        <v>5600</v>
      </c>
      <c r="I170" s="974">
        <v>23</v>
      </c>
      <c r="J170" s="974">
        <v>86</v>
      </c>
      <c r="K170" s="974">
        <v>275</v>
      </c>
      <c r="L170" s="974">
        <v>0.4</v>
      </c>
      <c r="M170" s="974">
        <v>380</v>
      </c>
      <c r="N170" s="974">
        <v>180</v>
      </c>
      <c r="O170" s="974">
        <v>1.5</v>
      </c>
      <c r="P170" s="974">
        <v>0.1</v>
      </c>
      <c r="Q170" s="974">
        <v>0.36</v>
      </c>
      <c r="R170" s="974">
        <v>0.46</v>
      </c>
    </row>
    <row r="171" spans="1:18" x14ac:dyDescent="0.35">
      <c r="A171" s="974" t="s">
        <v>1839</v>
      </c>
      <c r="B171" s="974" t="s">
        <v>1846</v>
      </c>
      <c r="C171" s="974">
        <v>565</v>
      </c>
      <c r="D171" s="974">
        <v>-32</v>
      </c>
      <c r="E171" s="974">
        <v>-34</v>
      </c>
      <c r="F171" s="974">
        <v>32</v>
      </c>
      <c r="G171" s="974">
        <v>22</v>
      </c>
      <c r="H171" s="974">
        <v>5340</v>
      </c>
      <c r="I171" s="974">
        <v>28</v>
      </c>
      <c r="J171" s="974">
        <v>92</v>
      </c>
      <c r="K171" s="974">
        <v>330</v>
      </c>
      <c r="L171" s="974">
        <v>0.4</v>
      </c>
      <c r="M171" s="974">
        <v>420</v>
      </c>
      <c r="N171" s="974">
        <v>200</v>
      </c>
      <c r="O171" s="974">
        <v>1.6</v>
      </c>
      <c r="P171" s="974">
        <v>0.1</v>
      </c>
      <c r="Q171" s="974">
        <v>0.41</v>
      </c>
      <c r="R171" s="974">
        <v>0.52</v>
      </c>
    </row>
    <row r="172" spans="1:18" x14ac:dyDescent="0.35">
      <c r="A172" s="974" t="s">
        <v>1839</v>
      </c>
      <c r="B172" s="974" t="s">
        <v>1847</v>
      </c>
      <c r="C172" s="974">
        <v>370</v>
      </c>
      <c r="D172" s="974">
        <v>-36</v>
      </c>
      <c r="E172" s="974">
        <v>-38</v>
      </c>
      <c r="F172" s="974">
        <v>29</v>
      </c>
      <c r="G172" s="974">
        <v>21</v>
      </c>
      <c r="H172" s="974">
        <v>6280</v>
      </c>
      <c r="I172" s="974">
        <v>20</v>
      </c>
      <c r="J172" s="974">
        <v>81</v>
      </c>
      <c r="K172" s="974">
        <v>340</v>
      </c>
      <c r="L172" s="974">
        <v>0.6</v>
      </c>
      <c r="M172" s="974">
        <v>450</v>
      </c>
      <c r="N172" s="974">
        <v>80</v>
      </c>
      <c r="O172" s="974">
        <v>2</v>
      </c>
      <c r="P172" s="974">
        <v>0.1</v>
      </c>
      <c r="Q172" s="974">
        <v>0.28999999999999998</v>
      </c>
      <c r="R172" s="974">
        <v>0.37</v>
      </c>
    </row>
    <row r="173" spans="1:18" x14ac:dyDescent="0.35">
      <c r="A173" s="974" t="s">
        <v>1839</v>
      </c>
      <c r="B173" s="974" t="s">
        <v>1848</v>
      </c>
      <c r="C173" s="974">
        <v>565</v>
      </c>
      <c r="D173" s="974">
        <v>-36</v>
      </c>
      <c r="E173" s="974">
        <v>-38</v>
      </c>
      <c r="F173" s="974">
        <v>28</v>
      </c>
      <c r="G173" s="974">
        <v>21</v>
      </c>
      <c r="H173" s="974">
        <v>6000</v>
      </c>
      <c r="I173" s="974">
        <v>20</v>
      </c>
      <c r="J173" s="974">
        <v>86</v>
      </c>
      <c r="K173" s="974">
        <v>320</v>
      </c>
      <c r="L173" s="974">
        <v>0.5</v>
      </c>
      <c r="M173" s="974">
        <v>375</v>
      </c>
      <c r="N173" s="974">
        <v>140</v>
      </c>
      <c r="O173" s="974">
        <v>2.1</v>
      </c>
      <c r="P173" s="974">
        <v>0.1</v>
      </c>
      <c r="Q173" s="974">
        <v>0.31</v>
      </c>
      <c r="R173" s="974">
        <v>0.39</v>
      </c>
    </row>
    <row r="174" spans="1:18" x14ac:dyDescent="0.35">
      <c r="A174" s="974" t="s">
        <v>1839</v>
      </c>
      <c r="B174" s="974" t="s">
        <v>1849</v>
      </c>
      <c r="C174" s="974">
        <v>305</v>
      </c>
      <c r="D174" s="974">
        <v>-39</v>
      </c>
      <c r="E174" s="974">
        <v>-41</v>
      </c>
      <c r="F174" s="974">
        <v>27</v>
      </c>
      <c r="G174" s="974">
        <v>20</v>
      </c>
      <c r="H174" s="974">
        <v>7100</v>
      </c>
      <c r="I174" s="974">
        <v>18</v>
      </c>
      <c r="J174" s="974">
        <v>76</v>
      </c>
      <c r="K174" s="974">
        <v>370</v>
      </c>
      <c r="L174" s="974">
        <v>0.6</v>
      </c>
      <c r="M174" s="974">
        <v>510</v>
      </c>
      <c r="N174" s="974">
        <v>80</v>
      </c>
      <c r="O174" s="974">
        <v>2.1</v>
      </c>
      <c r="P174" s="974">
        <v>0.1</v>
      </c>
      <c r="Q174" s="974">
        <v>0.26</v>
      </c>
      <c r="R174" s="974">
        <v>0.35</v>
      </c>
    </row>
    <row r="175" spans="1:18" x14ac:dyDescent="0.35">
      <c r="A175" s="974" t="s">
        <v>1839</v>
      </c>
      <c r="B175" s="974" t="s">
        <v>1850</v>
      </c>
      <c r="C175" s="974">
        <v>455</v>
      </c>
      <c r="D175" s="974">
        <v>-34</v>
      </c>
      <c r="E175" s="974">
        <v>-37</v>
      </c>
      <c r="F175" s="974">
        <v>29</v>
      </c>
      <c r="G175" s="974">
        <v>22</v>
      </c>
      <c r="H175" s="974">
        <v>6040</v>
      </c>
      <c r="I175" s="974">
        <v>20</v>
      </c>
      <c r="J175" s="974">
        <v>97</v>
      </c>
      <c r="K175" s="974">
        <v>360</v>
      </c>
      <c r="L175" s="974">
        <v>0.6</v>
      </c>
      <c r="M175" s="974">
        <v>450</v>
      </c>
      <c r="N175" s="974">
        <v>120</v>
      </c>
      <c r="O175" s="974">
        <v>2.1</v>
      </c>
      <c r="P175" s="974">
        <v>0.2</v>
      </c>
      <c r="Q175" s="974">
        <v>0.32</v>
      </c>
      <c r="R175" s="974">
        <v>0.4</v>
      </c>
    </row>
    <row r="176" spans="1:18" x14ac:dyDescent="0.35">
      <c r="A176" s="974" t="s">
        <v>1839</v>
      </c>
      <c r="B176" s="974" t="s">
        <v>1851</v>
      </c>
      <c r="C176" s="974">
        <v>685</v>
      </c>
      <c r="D176" s="974">
        <v>-33</v>
      </c>
      <c r="E176" s="974">
        <v>-35</v>
      </c>
      <c r="F176" s="974">
        <v>31</v>
      </c>
      <c r="G176" s="974">
        <v>20</v>
      </c>
      <c r="H176" s="974">
        <v>5550</v>
      </c>
      <c r="I176" s="974">
        <v>23</v>
      </c>
      <c r="J176" s="974">
        <v>81</v>
      </c>
      <c r="K176" s="974">
        <v>260</v>
      </c>
      <c r="L176" s="974">
        <v>0.4</v>
      </c>
      <c r="M176" s="974">
        <v>325</v>
      </c>
      <c r="N176" s="974">
        <v>200</v>
      </c>
      <c r="O176" s="974">
        <v>1.4</v>
      </c>
      <c r="P176" s="974">
        <v>0.1</v>
      </c>
      <c r="Q176" s="974">
        <v>0.36</v>
      </c>
      <c r="R176" s="974">
        <v>0.46</v>
      </c>
    </row>
    <row r="177" spans="1:18" x14ac:dyDescent="0.35">
      <c r="A177" s="974" t="s">
        <v>1839</v>
      </c>
      <c r="B177" s="974" t="s">
        <v>1852</v>
      </c>
      <c r="C177" s="974">
        <v>645</v>
      </c>
      <c r="D177" s="974">
        <v>-34</v>
      </c>
      <c r="E177" s="974">
        <v>-37</v>
      </c>
      <c r="F177" s="974">
        <v>28</v>
      </c>
      <c r="G177" s="974">
        <v>20</v>
      </c>
      <c r="H177" s="974">
        <v>5880</v>
      </c>
      <c r="I177" s="974">
        <v>18</v>
      </c>
      <c r="J177" s="974">
        <v>81</v>
      </c>
      <c r="K177" s="974">
        <v>310</v>
      </c>
      <c r="L177" s="974">
        <v>0.5</v>
      </c>
      <c r="M177" s="974">
        <v>430</v>
      </c>
      <c r="N177" s="974">
        <v>120</v>
      </c>
      <c r="O177" s="974">
        <v>2</v>
      </c>
      <c r="P177" s="974">
        <v>0.1</v>
      </c>
      <c r="Q177" s="974">
        <v>0.32</v>
      </c>
      <c r="R177" s="974">
        <v>0.4</v>
      </c>
    </row>
    <row r="178" spans="1:18" x14ac:dyDescent="0.35">
      <c r="A178" s="974" t="s">
        <v>1839</v>
      </c>
      <c r="B178" s="974" t="s">
        <v>1853</v>
      </c>
      <c r="C178" s="974">
        <v>765</v>
      </c>
      <c r="D178" s="974">
        <v>-31</v>
      </c>
      <c r="E178" s="974">
        <v>-34</v>
      </c>
      <c r="F178" s="974">
        <v>31</v>
      </c>
      <c r="G178" s="974">
        <v>20</v>
      </c>
      <c r="H178" s="974">
        <v>4780</v>
      </c>
      <c r="I178" s="974">
        <v>25</v>
      </c>
      <c r="J178" s="974">
        <v>81</v>
      </c>
      <c r="K178" s="974">
        <v>275</v>
      </c>
      <c r="L178" s="974">
        <v>0.3</v>
      </c>
      <c r="M178" s="974">
        <v>380</v>
      </c>
      <c r="N178" s="974">
        <v>220</v>
      </c>
      <c r="O178" s="974">
        <v>1.2</v>
      </c>
      <c r="P178" s="974">
        <v>0.1</v>
      </c>
      <c r="Q178" s="974">
        <v>0.36</v>
      </c>
      <c r="R178" s="974">
        <v>0.45</v>
      </c>
    </row>
    <row r="179" spans="1:18" x14ac:dyDescent="0.35">
      <c r="A179" s="974" t="s">
        <v>1839</v>
      </c>
      <c r="B179" s="974" t="s">
        <v>1854</v>
      </c>
      <c r="C179" s="974">
        <v>480</v>
      </c>
      <c r="D179" s="974">
        <v>-38</v>
      </c>
      <c r="E179" s="974">
        <v>-40</v>
      </c>
      <c r="F179" s="974">
        <v>28</v>
      </c>
      <c r="G179" s="974">
        <v>20</v>
      </c>
      <c r="H179" s="974">
        <v>6280</v>
      </c>
      <c r="I179" s="974">
        <v>18</v>
      </c>
      <c r="J179" s="974">
        <v>81</v>
      </c>
      <c r="K179" s="974">
        <v>320</v>
      </c>
      <c r="L179" s="974">
        <v>0.5</v>
      </c>
      <c r="M179" s="974">
        <v>450</v>
      </c>
      <c r="N179" s="974">
        <v>120</v>
      </c>
      <c r="O179" s="974">
        <v>1.7</v>
      </c>
      <c r="P179" s="974">
        <v>0.1</v>
      </c>
      <c r="Q179" s="974">
        <v>0.3</v>
      </c>
      <c r="R179" s="974">
        <v>0.4</v>
      </c>
    </row>
    <row r="180" spans="1:18" x14ac:dyDescent="0.35">
      <c r="A180" s="974" t="s">
        <v>1839</v>
      </c>
      <c r="B180" s="974" t="s">
        <v>1855</v>
      </c>
      <c r="C180" s="974">
        <v>455</v>
      </c>
      <c r="D180" s="974">
        <v>-36</v>
      </c>
      <c r="E180" s="974">
        <v>-38</v>
      </c>
      <c r="F180" s="974">
        <v>28</v>
      </c>
      <c r="G180" s="974">
        <v>21</v>
      </c>
      <c r="H180" s="974">
        <v>6050</v>
      </c>
      <c r="I180" s="974">
        <v>20</v>
      </c>
      <c r="J180" s="974">
        <v>81</v>
      </c>
      <c r="K180" s="974">
        <v>310</v>
      </c>
      <c r="L180" s="974">
        <v>0.5</v>
      </c>
      <c r="M180" s="974">
        <v>410</v>
      </c>
      <c r="N180" s="974">
        <v>120</v>
      </c>
      <c r="O180" s="974">
        <v>2.1</v>
      </c>
      <c r="P180" s="974">
        <v>0.1</v>
      </c>
      <c r="Q180" s="974">
        <v>0.28000000000000003</v>
      </c>
      <c r="R180" s="974">
        <v>0.36</v>
      </c>
    </row>
    <row r="181" spans="1:18" x14ac:dyDescent="0.35">
      <c r="A181" s="974" t="s">
        <v>1839</v>
      </c>
      <c r="B181" s="974" t="s">
        <v>1856</v>
      </c>
      <c r="C181" s="974">
        <v>550</v>
      </c>
      <c r="D181" s="974">
        <v>-34</v>
      </c>
      <c r="E181" s="974">
        <v>-36</v>
      </c>
      <c r="F181" s="974">
        <v>29</v>
      </c>
      <c r="G181" s="974">
        <v>21</v>
      </c>
      <c r="H181" s="974">
        <v>5880</v>
      </c>
      <c r="I181" s="974">
        <v>23</v>
      </c>
      <c r="J181" s="974">
        <v>97</v>
      </c>
      <c r="K181" s="974">
        <v>340</v>
      </c>
      <c r="L181" s="974">
        <v>0.5</v>
      </c>
      <c r="M181" s="974">
        <v>410</v>
      </c>
      <c r="N181" s="974">
        <v>160</v>
      </c>
      <c r="O181" s="974">
        <v>1.7</v>
      </c>
      <c r="P181" s="974">
        <v>0.1</v>
      </c>
      <c r="Q181" s="974">
        <v>0.32</v>
      </c>
      <c r="R181" s="974">
        <v>0.4</v>
      </c>
    </row>
    <row r="182" spans="1:18" x14ac:dyDescent="0.35">
      <c r="A182" s="974" t="s">
        <v>1839</v>
      </c>
      <c r="B182" s="974" t="s">
        <v>1857</v>
      </c>
      <c r="C182" s="974">
        <v>545</v>
      </c>
      <c r="D182" s="974">
        <v>-32</v>
      </c>
      <c r="E182" s="974">
        <v>-34</v>
      </c>
      <c r="F182" s="974">
        <v>31</v>
      </c>
      <c r="G182" s="974">
        <v>21</v>
      </c>
      <c r="H182" s="974">
        <v>5270</v>
      </c>
      <c r="I182" s="974">
        <v>25</v>
      </c>
      <c r="J182" s="974">
        <v>86</v>
      </c>
      <c r="K182" s="974">
        <v>270</v>
      </c>
      <c r="L182" s="974">
        <v>0.3</v>
      </c>
      <c r="M182" s="974">
        <v>360</v>
      </c>
      <c r="N182" s="974">
        <v>200</v>
      </c>
      <c r="O182" s="974">
        <v>1.4</v>
      </c>
      <c r="P182" s="974">
        <v>0.1</v>
      </c>
      <c r="Q182" s="974">
        <v>0.41</v>
      </c>
      <c r="R182" s="974">
        <v>0.52</v>
      </c>
    </row>
    <row r="183" spans="1:18" x14ac:dyDescent="0.35">
      <c r="A183" s="974" t="s">
        <v>1839</v>
      </c>
      <c r="B183" s="974" t="s">
        <v>1858</v>
      </c>
      <c r="C183" s="974">
        <v>365</v>
      </c>
      <c r="D183" s="974">
        <v>-37</v>
      </c>
      <c r="E183" s="974">
        <v>-39</v>
      </c>
      <c r="F183" s="974">
        <v>28</v>
      </c>
      <c r="G183" s="974">
        <v>21</v>
      </c>
      <c r="H183" s="974">
        <v>6300</v>
      </c>
      <c r="I183" s="974">
        <v>20</v>
      </c>
      <c r="J183" s="974">
        <v>76</v>
      </c>
      <c r="K183" s="974">
        <v>340</v>
      </c>
      <c r="L183" s="974">
        <v>0.6</v>
      </c>
      <c r="M183" s="974">
        <v>450</v>
      </c>
      <c r="N183" s="974">
        <v>100</v>
      </c>
      <c r="O183" s="974">
        <v>2</v>
      </c>
      <c r="P183" s="974">
        <v>0.1</v>
      </c>
      <c r="Q183" s="974">
        <v>0.3</v>
      </c>
      <c r="R183" s="974">
        <v>0.38</v>
      </c>
    </row>
    <row r="184" spans="1:18" x14ac:dyDescent="0.35">
      <c r="A184" s="974" t="s">
        <v>1839</v>
      </c>
      <c r="B184" s="974" t="s">
        <v>1859</v>
      </c>
      <c r="C184" s="974">
        <v>545</v>
      </c>
      <c r="D184" s="974">
        <v>-34</v>
      </c>
      <c r="E184" s="974">
        <v>-36</v>
      </c>
      <c r="F184" s="974">
        <v>29</v>
      </c>
      <c r="G184" s="974">
        <v>20</v>
      </c>
      <c r="H184" s="974">
        <v>5900</v>
      </c>
      <c r="I184" s="974">
        <v>20</v>
      </c>
      <c r="J184" s="974">
        <v>81</v>
      </c>
      <c r="K184" s="974">
        <v>280</v>
      </c>
      <c r="L184" s="974">
        <v>0.5</v>
      </c>
      <c r="M184" s="974">
        <v>370</v>
      </c>
      <c r="N184" s="974">
        <v>120</v>
      </c>
      <c r="O184" s="974">
        <v>1.7</v>
      </c>
      <c r="P184" s="974">
        <v>0.1</v>
      </c>
      <c r="Q184" s="974">
        <v>0.36</v>
      </c>
      <c r="R184" s="974">
        <v>0.46</v>
      </c>
    </row>
    <row r="185" spans="1:18" x14ac:dyDescent="0.35">
      <c r="A185" s="974" t="s">
        <v>1839</v>
      </c>
      <c r="B185" s="974" t="s">
        <v>1860</v>
      </c>
      <c r="C185" s="974">
        <v>435</v>
      </c>
      <c r="D185" s="974">
        <v>-37</v>
      </c>
      <c r="E185" s="974">
        <v>-40</v>
      </c>
      <c r="F185" s="974">
        <v>28</v>
      </c>
      <c r="G185" s="974">
        <v>21</v>
      </c>
      <c r="H185" s="974">
        <v>6100</v>
      </c>
      <c r="I185" s="974">
        <v>20</v>
      </c>
      <c r="J185" s="974">
        <v>81</v>
      </c>
      <c r="K185" s="974">
        <v>320</v>
      </c>
      <c r="L185" s="974">
        <v>0.5</v>
      </c>
      <c r="M185" s="974">
        <v>410</v>
      </c>
      <c r="N185" s="974">
        <v>140</v>
      </c>
      <c r="O185" s="974">
        <v>1.9</v>
      </c>
      <c r="P185" s="974">
        <v>0.1</v>
      </c>
      <c r="Q185" s="974">
        <v>0.3</v>
      </c>
      <c r="R185" s="974">
        <v>0.38</v>
      </c>
    </row>
    <row r="186" spans="1:18" x14ac:dyDescent="0.35">
      <c r="A186" s="974" t="s">
        <v>1839</v>
      </c>
      <c r="B186" s="974" t="s">
        <v>1861</v>
      </c>
      <c r="C186" s="974">
        <v>645</v>
      </c>
      <c r="D186" s="974">
        <v>-34</v>
      </c>
      <c r="E186" s="974">
        <v>-36</v>
      </c>
      <c r="F186" s="974">
        <v>30</v>
      </c>
      <c r="G186" s="974">
        <v>22</v>
      </c>
      <c r="H186" s="974">
        <v>5620</v>
      </c>
      <c r="I186" s="974">
        <v>25</v>
      </c>
      <c r="J186" s="974">
        <v>97</v>
      </c>
      <c r="K186" s="974">
        <v>340</v>
      </c>
      <c r="L186" s="974">
        <v>0.5</v>
      </c>
      <c r="M186" s="974">
        <v>430</v>
      </c>
      <c r="N186" s="974">
        <v>160</v>
      </c>
      <c r="O186" s="974">
        <v>1.7</v>
      </c>
      <c r="P186" s="974">
        <v>0.1</v>
      </c>
      <c r="Q186" s="974">
        <v>0.33</v>
      </c>
      <c r="R186" s="974">
        <v>0.42</v>
      </c>
    </row>
    <row r="187" spans="1:18" x14ac:dyDescent="0.35">
      <c r="A187" s="974" t="s">
        <v>1839</v>
      </c>
      <c r="B187" s="974" t="s">
        <v>1862</v>
      </c>
      <c r="C187" s="974">
        <v>575</v>
      </c>
      <c r="D187" s="974">
        <v>-34</v>
      </c>
      <c r="E187" s="974">
        <v>-36</v>
      </c>
      <c r="F187" s="974">
        <v>31</v>
      </c>
      <c r="G187" s="974">
        <v>21</v>
      </c>
      <c r="H187" s="974">
        <v>5600</v>
      </c>
      <c r="I187" s="974">
        <v>28</v>
      </c>
      <c r="J187" s="974">
        <v>103</v>
      </c>
      <c r="K187" s="974">
        <v>300</v>
      </c>
      <c r="L187" s="974">
        <v>0.4</v>
      </c>
      <c r="M187" s="974">
        <v>365</v>
      </c>
      <c r="N187" s="974">
        <v>200</v>
      </c>
      <c r="O187" s="974">
        <v>1.4</v>
      </c>
      <c r="P187" s="974">
        <v>0.1</v>
      </c>
      <c r="Q187" s="974">
        <v>0.39</v>
      </c>
      <c r="R187" s="974">
        <v>0.49</v>
      </c>
    </row>
    <row r="188" spans="1:18" x14ac:dyDescent="0.35">
      <c r="A188" s="974" t="s">
        <v>1839</v>
      </c>
      <c r="B188" s="974" t="s">
        <v>1863</v>
      </c>
      <c r="C188" s="974">
        <v>595</v>
      </c>
      <c r="D188" s="974">
        <v>-34</v>
      </c>
      <c r="E188" s="974">
        <v>-36</v>
      </c>
      <c r="F188" s="974">
        <v>31</v>
      </c>
      <c r="G188" s="974">
        <v>20</v>
      </c>
      <c r="H188" s="974">
        <v>5620</v>
      </c>
      <c r="I188" s="974">
        <v>23</v>
      </c>
      <c r="J188" s="974">
        <v>81</v>
      </c>
      <c r="K188" s="974">
        <v>260</v>
      </c>
      <c r="L188" s="974">
        <v>0.4</v>
      </c>
      <c r="M188" s="974">
        <v>330</v>
      </c>
      <c r="N188" s="974">
        <v>200</v>
      </c>
      <c r="O188" s="974">
        <v>1.7</v>
      </c>
      <c r="P188" s="974">
        <v>0.1</v>
      </c>
      <c r="Q188" s="974">
        <v>0.39</v>
      </c>
      <c r="R188" s="974">
        <v>0.49</v>
      </c>
    </row>
    <row r="189" spans="1:18" x14ac:dyDescent="0.35">
      <c r="A189" s="974" t="s">
        <v>1839</v>
      </c>
      <c r="B189" s="974" t="s">
        <v>1864</v>
      </c>
      <c r="C189" s="974">
        <v>500</v>
      </c>
      <c r="D189" s="974">
        <v>-35</v>
      </c>
      <c r="E189" s="974">
        <v>-37</v>
      </c>
      <c r="F189" s="974">
        <v>30</v>
      </c>
      <c r="G189" s="974">
        <v>21</v>
      </c>
      <c r="H189" s="974">
        <v>5700</v>
      </c>
      <c r="I189" s="974">
        <v>23</v>
      </c>
      <c r="J189" s="974">
        <v>86</v>
      </c>
      <c r="K189" s="974">
        <v>265</v>
      </c>
      <c r="L189" s="974">
        <v>0.4</v>
      </c>
      <c r="M189" s="974">
        <v>350</v>
      </c>
      <c r="N189" s="974">
        <v>160</v>
      </c>
      <c r="O189" s="974">
        <v>1.7</v>
      </c>
      <c r="P189" s="974">
        <v>0.1</v>
      </c>
      <c r="Q189" s="974">
        <v>0.36</v>
      </c>
      <c r="R189" s="974">
        <v>0.46</v>
      </c>
    </row>
    <row r="190" spans="1:18" x14ac:dyDescent="0.35">
      <c r="A190" s="974" t="s">
        <v>1839</v>
      </c>
      <c r="B190" s="974" t="s">
        <v>1865</v>
      </c>
      <c r="C190" s="974">
        <v>645</v>
      </c>
      <c r="D190" s="974">
        <v>-34</v>
      </c>
      <c r="E190" s="974">
        <v>-36</v>
      </c>
      <c r="F190" s="974">
        <v>30</v>
      </c>
      <c r="G190" s="974">
        <v>20</v>
      </c>
      <c r="H190" s="974">
        <v>5960</v>
      </c>
      <c r="I190" s="974">
        <v>20</v>
      </c>
      <c r="J190" s="974">
        <v>81</v>
      </c>
      <c r="K190" s="974">
        <v>270</v>
      </c>
      <c r="L190" s="974">
        <v>0.4</v>
      </c>
      <c r="M190" s="974">
        <v>360</v>
      </c>
      <c r="N190" s="974">
        <v>140</v>
      </c>
      <c r="O190" s="974">
        <v>1.9</v>
      </c>
      <c r="P190" s="974">
        <v>0.1</v>
      </c>
      <c r="Q190" s="974">
        <v>0.36</v>
      </c>
      <c r="R190" s="974">
        <v>0.45</v>
      </c>
    </row>
    <row r="191" spans="1:18" x14ac:dyDescent="0.35">
      <c r="A191" s="974" t="s">
        <v>1839</v>
      </c>
      <c r="B191" s="974" t="s">
        <v>1866</v>
      </c>
      <c r="C191" s="974">
        <v>545</v>
      </c>
      <c r="D191" s="974">
        <v>-34</v>
      </c>
      <c r="E191" s="974">
        <v>-36</v>
      </c>
      <c r="F191" s="974">
        <v>30</v>
      </c>
      <c r="G191" s="974">
        <v>22</v>
      </c>
      <c r="H191" s="974">
        <v>5600</v>
      </c>
      <c r="I191" s="974">
        <v>25</v>
      </c>
      <c r="J191" s="974">
        <v>92</v>
      </c>
      <c r="K191" s="974">
        <v>300</v>
      </c>
      <c r="L191" s="974">
        <v>0.4</v>
      </c>
      <c r="M191" s="974">
        <v>390</v>
      </c>
      <c r="N191" s="974">
        <v>180</v>
      </c>
      <c r="O191" s="974">
        <v>1.5</v>
      </c>
      <c r="P191" s="974">
        <v>0.1</v>
      </c>
      <c r="Q191" s="974">
        <v>0.33</v>
      </c>
      <c r="R191" s="974">
        <v>0.42</v>
      </c>
    </row>
    <row r="192" spans="1:18" x14ac:dyDescent="0.35">
      <c r="A192" s="974" t="s">
        <v>1839</v>
      </c>
      <c r="B192" s="974" t="s">
        <v>1867</v>
      </c>
      <c r="C192" s="974">
        <v>750</v>
      </c>
      <c r="D192" s="974">
        <v>-31</v>
      </c>
      <c r="E192" s="974">
        <v>-34</v>
      </c>
      <c r="F192" s="974">
        <v>31</v>
      </c>
      <c r="G192" s="974">
        <v>20</v>
      </c>
      <c r="H192" s="974">
        <v>5150</v>
      </c>
      <c r="I192" s="974">
        <v>25</v>
      </c>
      <c r="J192" s="974">
        <v>81</v>
      </c>
      <c r="K192" s="974">
        <v>260</v>
      </c>
      <c r="L192" s="974">
        <v>0.3</v>
      </c>
      <c r="M192" s="974">
        <v>350</v>
      </c>
      <c r="N192" s="974">
        <v>240</v>
      </c>
      <c r="O192" s="974">
        <v>1.4</v>
      </c>
      <c r="P192" s="974">
        <v>0.1</v>
      </c>
      <c r="Q192" s="974">
        <v>0.43</v>
      </c>
      <c r="R192" s="974">
        <v>0.54</v>
      </c>
    </row>
    <row r="193" spans="1:18" x14ac:dyDescent="0.35">
      <c r="A193" s="974" t="s">
        <v>1839</v>
      </c>
      <c r="B193" s="974" t="s">
        <v>1868</v>
      </c>
      <c r="C193" s="974">
        <v>265</v>
      </c>
      <c r="D193" s="974">
        <v>-42</v>
      </c>
      <c r="E193" s="974">
        <v>-44</v>
      </c>
      <c r="F193" s="974">
        <v>26</v>
      </c>
      <c r="G193" s="974">
        <v>19</v>
      </c>
      <c r="H193" s="974">
        <v>7500</v>
      </c>
      <c r="I193" s="974">
        <v>12</v>
      </c>
      <c r="J193" s="974">
        <v>54</v>
      </c>
      <c r="K193" s="974">
        <v>300</v>
      </c>
      <c r="L193" s="974">
        <v>0.6</v>
      </c>
      <c r="M193" s="974">
        <v>360</v>
      </c>
      <c r="N193" s="974">
        <v>100</v>
      </c>
      <c r="O193" s="974">
        <v>2</v>
      </c>
      <c r="P193" s="974">
        <v>0.1</v>
      </c>
      <c r="Q193" s="974">
        <v>0.27</v>
      </c>
      <c r="R193" s="974">
        <v>0.36</v>
      </c>
    </row>
    <row r="194" spans="1:18" x14ac:dyDescent="0.35">
      <c r="A194" s="974" t="s">
        <v>1839</v>
      </c>
      <c r="B194" s="974" t="s">
        <v>1869</v>
      </c>
      <c r="C194" s="974">
        <v>575</v>
      </c>
      <c r="D194" s="974">
        <v>-33</v>
      </c>
      <c r="E194" s="974">
        <v>-35</v>
      </c>
      <c r="F194" s="974">
        <v>31</v>
      </c>
      <c r="G194" s="974">
        <v>23</v>
      </c>
      <c r="H194" s="974">
        <v>5400</v>
      </c>
      <c r="I194" s="974">
        <v>28</v>
      </c>
      <c r="J194" s="974">
        <v>97</v>
      </c>
      <c r="K194" s="974">
        <v>320</v>
      </c>
      <c r="L194" s="974">
        <v>0.4</v>
      </c>
      <c r="M194" s="974">
        <v>400</v>
      </c>
      <c r="N194" s="974">
        <v>200</v>
      </c>
      <c r="O194" s="974">
        <v>1.8</v>
      </c>
      <c r="P194" s="974">
        <v>0.1</v>
      </c>
      <c r="Q194" s="974">
        <v>0.38</v>
      </c>
      <c r="R194" s="974">
        <v>0.48</v>
      </c>
    </row>
    <row r="195" spans="1:18" x14ac:dyDescent="0.35">
      <c r="A195" s="974" t="s">
        <v>1839</v>
      </c>
      <c r="B195" s="974" t="s">
        <v>1870</v>
      </c>
      <c r="C195" s="974">
        <v>510</v>
      </c>
      <c r="D195" s="974">
        <v>-34</v>
      </c>
      <c r="E195" s="974">
        <v>-37</v>
      </c>
      <c r="F195" s="974">
        <v>29</v>
      </c>
      <c r="G195" s="974">
        <v>21</v>
      </c>
      <c r="H195" s="974">
        <v>6000</v>
      </c>
      <c r="I195" s="974">
        <v>23</v>
      </c>
      <c r="J195" s="974">
        <v>97</v>
      </c>
      <c r="K195" s="974">
        <v>350</v>
      </c>
      <c r="L195" s="974">
        <v>0.5</v>
      </c>
      <c r="M195" s="974">
        <v>440</v>
      </c>
      <c r="N195" s="974">
        <v>140</v>
      </c>
      <c r="O195" s="974">
        <v>1.9</v>
      </c>
      <c r="P195" s="974">
        <v>0.1</v>
      </c>
      <c r="Q195" s="974">
        <v>0.32</v>
      </c>
      <c r="R195" s="974">
        <v>0.4</v>
      </c>
    </row>
    <row r="196" spans="1:18" x14ac:dyDescent="0.35">
      <c r="A196" s="974" t="s">
        <v>1871</v>
      </c>
      <c r="B196" s="974" t="s">
        <v>1872</v>
      </c>
      <c r="C196" s="974">
        <v>245</v>
      </c>
      <c r="D196" s="974">
        <v>-33</v>
      </c>
      <c r="E196" s="974">
        <v>-35</v>
      </c>
      <c r="F196" s="974">
        <v>29</v>
      </c>
      <c r="G196" s="974">
        <v>23</v>
      </c>
      <c r="H196" s="974">
        <v>5680</v>
      </c>
      <c r="I196" s="974">
        <v>28</v>
      </c>
      <c r="J196" s="974">
        <v>103</v>
      </c>
      <c r="K196" s="974">
        <v>430</v>
      </c>
      <c r="L196" s="974">
        <v>0.6</v>
      </c>
      <c r="M196" s="974">
        <v>530</v>
      </c>
      <c r="N196" s="974">
        <v>180</v>
      </c>
      <c r="O196" s="974">
        <v>2</v>
      </c>
      <c r="P196" s="974">
        <v>0.2</v>
      </c>
      <c r="Q196" s="974">
        <v>0.32</v>
      </c>
      <c r="R196" s="974">
        <v>0.41</v>
      </c>
    </row>
    <row r="197" spans="1:18" x14ac:dyDescent="0.35">
      <c r="A197" s="974" t="s">
        <v>1871</v>
      </c>
      <c r="B197" s="974" t="s">
        <v>1873</v>
      </c>
      <c r="C197" s="974">
        <v>510</v>
      </c>
      <c r="D197" s="974">
        <v>-32</v>
      </c>
      <c r="E197" s="974">
        <v>-34</v>
      </c>
      <c r="F197" s="974">
        <v>30</v>
      </c>
      <c r="G197" s="974">
        <v>23</v>
      </c>
      <c r="H197" s="974">
        <v>5500</v>
      </c>
      <c r="I197" s="974">
        <v>28</v>
      </c>
      <c r="J197" s="974">
        <v>119</v>
      </c>
      <c r="K197" s="974">
        <v>390</v>
      </c>
      <c r="L197" s="974">
        <v>0.5</v>
      </c>
      <c r="M197" s="974">
        <v>510</v>
      </c>
      <c r="N197" s="974">
        <v>180</v>
      </c>
      <c r="O197" s="974">
        <v>2.2000000000000002</v>
      </c>
      <c r="P197" s="974">
        <v>0.2</v>
      </c>
      <c r="Q197" s="974">
        <v>0.41</v>
      </c>
      <c r="R197" s="974">
        <v>0.52</v>
      </c>
    </row>
    <row r="198" spans="1:18" x14ac:dyDescent="0.35">
      <c r="A198" s="974" t="s">
        <v>1871</v>
      </c>
      <c r="B198" s="974" t="s">
        <v>1874</v>
      </c>
      <c r="C198" s="974">
        <v>395</v>
      </c>
      <c r="D198" s="974">
        <v>-33</v>
      </c>
      <c r="E198" s="974">
        <v>-35</v>
      </c>
      <c r="F198" s="974">
        <v>30</v>
      </c>
      <c r="G198" s="974">
        <v>22</v>
      </c>
      <c r="H198" s="974">
        <v>5760</v>
      </c>
      <c r="I198" s="974">
        <v>28</v>
      </c>
      <c r="J198" s="974">
        <v>108</v>
      </c>
      <c r="K198" s="974">
        <v>375</v>
      </c>
      <c r="L198" s="974">
        <v>0.6</v>
      </c>
      <c r="M198" s="974">
        <v>460</v>
      </c>
      <c r="N198" s="974">
        <v>180</v>
      </c>
      <c r="O198" s="974">
        <v>2.1</v>
      </c>
      <c r="P198" s="974">
        <v>0.2</v>
      </c>
      <c r="Q198" s="974">
        <v>0.39</v>
      </c>
      <c r="R198" s="974">
        <v>0.49</v>
      </c>
    </row>
    <row r="199" spans="1:18" x14ac:dyDescent="0.35">
      <c r="A199" s="974" t="s">
        <v>1871</v>
      </c>
      <c r="B199" s="974" t="s">
        <v>1875</v>
      </c>
      <c r="C199" s="974">
        <v>10</v>
      </c>
      <c r="D199" s="974">
        <v>-38</v>
      </c>
      <c r="E199" s="974">
        <v>-40</v>
      </c>
      <c r="F199" s="974">
        <v>25</v>
      </c>
      <c r="G199" s="974">
        <v>18</v>
      </c>
      <c r="H199" s="974">
        <v>8950</v>
      </c>
      <c r="I199" s="974">
        <v>12</v>
      </c>
      <c r="J199" s="974">
        <v>76</v>
      </c>
      <c r="K199" s="974">
        <v>265</v>
      </c>
      <c r="L199" s="974">
        <v>0.8</v>
      </c>
      <c r="M199" s="974">
        <v>410</v>
      </c>
      <c r="N199" s="974">
        <v>260</v>
      </c>
      <c r="O199" s="974">
        <v>3</v>
      </c>
      <c r="P199" s="974">
        <v>0.2</v>
      </c>
      <c r="Q199" s="974">
        <v>0.43</v>
      </c>
      <c r="R199" s="974">
        <v>0.55000000000000004</v>
      </c>
    </row>
    <row r="200" spans="1:18" x14ac:dyDescent="0.35">
      <c r="A200" s="974" t="s">
        <v>1871</v>
      </c>
      <c r="B200" s="974" t="s">
        <v>1876</v>
      </c>
      <c r="C200" s="974">
        <v>295</v>
      </c>
      <c r="D200" s="974">
        <v>-33</v>
      </c>
      <c r="E200" s="974">
        <v>-35</v>
      </c>
      <c r="F200" s="974">
        <v>30</v>
      </c>
      <c r="G200" s="974">
        <v>22</v>
      </c>
      <c r="H200" s="974">
        <v>5900</v>
      </c>
      <c r="I200" s="974">
        <v>28</v>
      </c>
      <c r="J200" s="974">
        <v>103</v>
      </c>
      <c r="K200" s="974">
        <v>400</v>
      </c>
      <c r="L200" s="974">
        <v>0.6</v>
      </c>
      <c r="M200" s="974">
        <v>490</v>
      </c>
      <c r="N200" s="974">
        <v>160</v>
      </c>
      <c r="O200" s="974">
        <v>1.9</v>
      </c>
      <c r="P200" s="974">
        <v>0.2</v>
      </c>
      <c r="Q200" s="974">
        <v>0.32</v>
      </c>
      <c r="R200" s="974">
        <v>0.4</v>
      </c>
    </row>
    <row r="201" spans="1:18" x14ac:dyDescent="0.35">
      <c r="A201" s="974" t="s">
        <v>1871</v>
      </c>
      <c r="B201" s="974" t="s">
        <v>1877</v>
      </c>
      <c r="C201" s="974">
        <v>300</v>
      </c>
      <c r="D201" s="974">
        <v>-38</v>
      </c>
      <c r="E201" s="974">
        <v>-40</v>
      </c>
      <c r="F201" s="974">
        <v>27</v>
      </c>
      <c r="G201" s="974">
        <v>20</v>
      </c>
      <c r="H201" s="974">
        <v>6440</v>
      </c>
      <c r="I201" s="974">
        <v>18</v>
      </c>
      <c r="J201" s="974">
        <v>81</v>
      </c>
      <c r="K201" s="974">
        <v>340</v>
      </c>
      <c r="L201" s="974">
        <v>0.6</v>
      </c>
      <c r="M201" s="974">
        <v>475</v>
      </c>
      <c r="N201" s="974">
        <v>80</v>
      </c>
      <c r="O201" s="974">
        <v>2.2000000000000002</v>
      </c>
      <c r="P201" s="974">
        <v>0.2</v>
      </c>
      <c r="Q201" s="974">
        <v>0.28000000000000003</v>
      </c>
      <c r="R201" s="974">
        <v>0.35</v>
      </c>
    </row>
    <row r="202" spans="1:18" x14ac:dyDescent="0.35">
      <c r="A202" s="974" t="s">
        <v>1871</v>
      </c>
      <c r="B202" s="974" t="s">
        <v>1878</v>
      </c>
      <c r="C202" s="974">
        <v>220</v>
      </c>
      <c r="D202" s="974">
        <v>-34</v>
      </c>
      <c r="E202" s="974">
        <v>-36</v>
      </c>
      <c r="F202" s="974">
        <v>29</v>
      </c>
      <c r="G202" s="974">
        <v>23</v>
      </c>
      <c r="H202" s="974">
        <v>5800</v>
      </c>
      <c r="I202" s="974">
        <v>28</v>
      </c>
      <c r="J202" s="974">
        <v>108</v>
      </c>
      <c r="K202" s="974">
        <v>410</v>
      </c>
      <c r="L202" s="974">
        <v>0.7</v>
      </c>
      <c r="M202" s="974">
        <v>530</v>
      </c>
      <c r="N202" s="974">
        <v>180</v>
      </c>
      <c r="O202" s="974">
        <v>1.9</v>
      </c>
      <c r="P202" s="974">
        <v>0.2</v>
      </c>
      <c r="Q202" s="974">
        <v>0.32</v>
      </c>
      <c r="R202" s="974">
        <v>0.4</v>
      </c>
    </row>
    <row r="203" spans="1:18" x14ac:dyDescent="0.35">
      <c r="A203" s="974" t="s">
        <v>1871</v>
      </c>
      <c r="B203" s="974" t="s">
        <v>1879</v>
      </c>
      <c r="C203" s="974">
        <v>240</v>
      </c>
      <c r="D203" s="974">
        <v>-36</v>
      </c>
      <c r="E203" s="974">
        <v>-38</v>
      </c>
      <c r="F203" s="974">
        <v>27</v>
      </c>
      <c r="G203" s="974">
        <v>20</v>
      </c>
      <c r="H203" s="974">
        <v>6900</v>
      </c>
      <c r="I203" s="974">
        <v>18</v>
      </c>
      <c r="J203" s="974">
        <v>86</v>
      </c>
      <c r="K203" s="974">
        <v>380</v>
      </c>
      <c r="L203" s="974">
        <v>0.7</v>
      </c>
      <c r="M203" s="974">
        <v>550</v>
      </c>
      <c r="N203" s="974">
        <v>80</v>
      </c>
      <c r="O203" s="974">
        <v>2.6</v>
      </c>
      <c r="P203" s="974">
        <v>0.2</v>
      </c>
      <c r="Q203" s="974">
        <v>0.28999999999999998</v>
      </c>
      <c r="R203" s="974">
        <v>0.37</v>
      </c>
    </row>
    <row r="204" spans="1:18" x14ac:dyDescent="0.35">
      <c r="A204" s="974" t="s">
        <v>1871</v>
      </c>
      <c r="B204" s="974" t="s">
        <v>1880</v>
      </c>
      <c r="C204" s="974">
        <v>260</v>
      </c>
      <c r="D204" s="974">
        <v>-34</v>
      </c>
      <c r="E204" s="974">
        <v>-36</v>
      </c>
      <c r="F204" s="974">
        <v>29</v>
      </c>
      <c r="G204" s="974">
        <v>23</v>
      </c>
      <c r="H204" s="974">
        <v>5730</v>
      </c>
      <c r="I204" s="974">
        <v>28</v>
      </c>
      <c r="J204" s="974">
        <v>103</v>
      </c>
      <c r="K204" s="974">
        <v>445</v>
      </c>
      <c r="L204" s="974">
        <v>0.7</v>
      </c>
      <c r="M204" s="974">
        <v>560</v>
      </c>
      <c r="N204" s="974">
        <v>180</v>
      </c>
      <c r="O204" s="974">
        <v>1.9</v>
      </c>
      <c r="P204" s="974">
        <v>0.2</v>
      </c>
      <c r="Q204" s="974">
        <v>0.28999999999999998</v>
      </c>
      <c r="R204" s="974">
        <v>0.37</v>
      </c>
    </row>
    <row r="205" spans="1:18" x14ac:dyDescent="0.35">
      <c r="A205" s="974" t="s">
        <v>1871</v>
      </c>
      <c r="B205" s="974" t="s">
        <v>1881</v>
      </c>
      <c r="C205" s="974">
        <v>350</v>
      </c>
      <c r="D205" s="974">
        <v>-40</v>
      </c>
      <c r="E205" s="974">
        <v>-42</v>
      </c>
      <c r="F205" s="974">
        <v>27</v>
      </c>
      <c r="G205" s="974">
        <v>19</v>
      </c>
      <c r="H205" s="974">
        <v>7770</v>
      </c>
      <c r="I205" s="974">
        <v>18</v>
      </c>
      <c r="J205" s="974">
        <v>86</v>
      </c>
      <c r="K205" s="974">
        <v>310</v>
      </c>
      <c r="L205" s="974">
        <v>0.6</v>
      </c>
      <c r="M205" s="974">
        <v>490</v>
      </c>
      <c r="N205" s="974">
        <v>100</v>
      </c>
      <c r="O205" s="974">
        <v>2.4</v>
      </c>
      <c r="P205" s="974">
        <v>0.2</v>
      </c>
      <c r="Q205" s="974">
        <v>0.28999999999999998</v>
      </c>
      <c r="R205" s="974">
        <v>0.37</v>
      </c>
    </row>
    <row r="206" spans="1:18" x14ac:dyDescent="0.35">
      <c r="A206" s="974" t="s">
        <v>1871</v>
      </c>
      <c r="B206" s="974" t="s">
        <v>1882</v>
      </c>
      <c r="C206" s="974">
        <v>300</v>
      </c>
      <c r="D206" s="974">
        <v>-31</v>
      </c>
      <c r="E206" s="974">
        <v>-33</v>
      </c>
      <c r="F206" s="974">
        <v>30</v>
      </c>
      <c r="G206" s="974">
        <v>24</v>
      </c>
      <c r="H206" s="974">
        <v>5400</v>
      </c>
      <c r="I206" s="974">
        <v>28</v>
      </c>
      <c r="J206" s="974">
        <v>119</v>
      </c>
      <c r="K206" s="974">
        <v>420</v>
      </c>
      <c r="L206" s="974">
        <v>0.6</v>
      </c>
      <c r="M206" s="974">
        <v>520</v>
      </c>
      <c r="N206" s="974">
        <v>180</v>
      </c>
      <c r="O206" s="974">
        <v>2.2000000000000002</v>
      </c>
      <c r="P206" s="974">
        <v>0.2</v>
      </c>
      <c r="Q206" s="974">
        <v>0.41</v>
      </c>
      <c r="R206" s="974">
        <v>0.52</v>
      </c>
    </row>
    <row r="207" spans="1:18" x14ac:dyDescent="0.35">
      <c r="A207" s="974" t="s">
        <v>1871</v>
      </c>
      <c r="B207" s="974" t="s">
        <v>1883</v>
      </c>
      <c r="C207" s="974">
        <v>365</v>
      </c>
      <c r="D207" s="974">
        <v>-32</v>
      </c>
      <c r="E207" s="974">
        <v>-34</v>
      </c>
      <c r="F207" s="974">
        <v>29</v>
      </c>
      <c r="G207" s="974">
        <v>23</v>
      </c>
      <c r="H207" s="974">
        <v>5760</v>
      </c>
      <c r="I207" s="974">
        <v>28</v>
      </c>
      <c r="J207" s="974">
        <v>108</v>
      </c>
      <c r="K207" s="974">
        <v>410</v>
      </c>
      <c r="L207" s="974">
        <v>0.6</v>
      </c>
      <c r="M207" s="974">
        <v>470</v>
      </c>
      <c r="N207" s="974">
        <v>180</v>
      </c>
      <c r="O207" s="974">
        <v>2.2000000000000002</v>
      </c>
      <c r="P207" s="974">
        <v>0.2</v>
      </c>
      <c r="Q207" s="974">
        <v>0.35</v>
      </c>
      <c r="R207" s="974">
        <v>0.44</v>
      </c>
    </row>
    <row r="208" spans="1:18" x14ac:dyDescent="0.35">
      <c r="A208" s="974" t="s">
        <v>1871</v>
      </c>
      <c r="B208" s="974" t="s">
        <v>1884</v>
      </c>
      <c r="C208" s="974">
        <v>220</v>
      </c>
      <c r="D208" s="974">
        <v>-34</v>
      </c>
      <c r="E208" s="974">
        <v>-36</v>
      </c>
      <c r="F208" s="974">
        <v>28</v>
      </c>
      <c r="G208" s="974">
        <v>23</v>
      </c>
      <c r="H208" s="974">
        <v>5900</v>
      </c>
      <c r="I208" s="974">
        <v>25</v>
      </c>
      <c r="J208" s="974">
        <v>97</v>
      </c>
      <c r="K208" s="974">
        <v>440</v>
      </c>
      <c r="L208" s="974">
        <v>0.7</v>
      </c>
      <c r="M208" s="974">
        <v>420</v>
      </c>
      <c r="N208" s="974">
        <v>180</v>
      </c>
      <c r="O208" s="974">
        <v>1.9</v>
      </c>
      <c r="P208" s="974">
        <v>0.2</v>
      </c>
      <c r="Q208" s="974">
        <v>0.31</v>
      </c>
      <c r="R208" s="974">
        <v>0.39</v>
      </c>
    </row>
    <row r="209" spans="1:18" x14ac:dyDescent="0.35">
      <c r="A209" s="974" t="s">
        <v>1871</v>
      </c>
      <c r="B209" s="974" t="s">
        <v>1885</v>
      </c>
      <c r="C209" s="974">
        <v>260</v>
      </c>
      <c r="D209" s="974">
        <v>-31</v>
      </c>
      <c r="E209" s="974">
        <v>-33</v>
      </c>
      <c r="F209" s="974">
        <v>30</v>
      </c>
      <c r="G209" s="974">
        <v>23</v>
      </c>
      <c r="H209" s="974">
        <v>5600</v>
      </c>
      <c r="I209" s="974">
        <v>28</v>
      </c>
      <c r="J209" s="974">
        <v>108</v>
      </c>
      <c r="K209" s="974">
        <v>390</v>
      </c>
      <c r="L209" s="974">
        <v>0.5</v>
      </c>
      <c r="M209" s="974">
        <v>525</v>
      </c>
      <c r="N209" s="974">
        <v>180</v>
      </c>
      <c r="O209" s="974">
        <v>2.1</v>
      </c>
      <c r="P209" s="974">
        <v>0.2</v>
      </c>
      <c r="Q209" s="974">
        <v>0.36</v>
      </c>
      <c r="R209" s="974">
        <v>0.46</v>
      </c>
    </row>
    <row r="210" spans="1:18" x14ac:dyDescent="0.35">
      <c r="A210" s="974" t="s">
        <v>1871</v>
      </c>
      <c r="B210" s="974" t="s">
        <v>1886</v>
      </c>
      <c r="C210" s="974">
        <v>465</v>
      </c>
      <c r="D210" s="974">
        <v>-34</v>
      </c>
      <c r="E210" s="974">
        <v>-36</v>
      </c>
      <c r="F210" s="974">
        <v>29</v>
      </c>
      <c r="G210" s="974">
        <v>23</v>
      </c>
      <c r="H210" s="974">
        <v>5840</v>
      </c>
      <c r="I210" s="974">
        <v>28</v>
      </c>
      <c r="J210" s="974">
        <v>108</v>
      </c>
      <c r="K210" s="974">
        <v>370</v>
      </c>
      <c r="L210" s="974">
        <v>0.6</v>
      </c>
      <c r="M210" s="974">
        <v>460</v>
      </c>
      <c r="N210" s="974">
        <v>180</v>
      </c>
      <c r="O210" s="974">
        <v>2.1</v>
      </c>
      <c r="P210" s="974">
        <v>0.2</v>
      </c>
      <c r="Q210" s="974">
        <v>0.36</v>
      </c>
      <c r="R210" s="974">
        <v>0.46</v>
      </c>
    </row>
    <row r="211" spans="1:18" x14ac:dyDescent="0.35">
      <c r="A211" s="974" t="s">
        <v>1871</v>
      </c>
      <c r="B211" s="974" t="s">
        <v>1887</v>
      </c>
      <c r="C211" s="974">
        <v>365</v>
      </c>
      <c r="D211" s="974">
        <v>-32</v>
      </c>
      <c r="E211" s="974">
        <v>-34</v>
      </c>
      <c r="F211" s="974">
        <v>29</v>
      </c>
      <c r="G211" s="974">
        <v>23</v>
      </c>
      <c r="H211" s="974">
        <v>5650</v>
      </c>
      <c r="I211" s="974">
        <v>28</v>
      </c>
      <c r="J211" s="974">
        <v>113</v>
      </c>
      <c r="K211" s="974">
        <v>460</v>
      </c>
      <c r="L211" s="974">
        <v>0.6</v>
      </c>
      <c r="M211" s="974">
        <v>550</v>
      </c>
      <c r="N211" s="974">
        <v>180</v>
      </c>
      <c r="O211" s="974">
        <v>2.2000000000000002</v>
      </c>
      <c r="P211" s="974">
        <v>0.2</v>
      </c>
      <c r="Q211" s="974">
        <v>0.32</v>
      </c>
      <c r="R211" s="974">
        <v>0.4</v>
      </c>
    </row>
    <row r="212" spans="1:18" x14ac:dyDescent="0.35">
      <c r="A212" s="974" t="s">
        <v>1871</v>
      </c>
      <c r="B212" s="974" t="s">
        <v>1888</v>
      </c>
      <c r="C212" s="974">
        <v>225</v>
      </c>
      <c r="D212" s="974">
        <v>-33</v>
      </c>
      <c r="E212" s="974">
        <v>-35</v>
      </c>
      <c r="F212" s="974">
        <v>29</v>
      </c>
      <c r="G212" s="974">
        <v>23</v>
      </c>
      <c r="H212" s="974">
        <v>5700</v>
      </c>
      <c r="I212" s="974">
        <v>28</v>
      </c>
      <c r="J212" s="974">
        <v>108</v>
      </c>
      <c r="K212" s="974">
        <v>420</v>
      </c>
      <c r="L212" s="974">
        <v>0.6</v>
      </c>
      <c r="M212" s="974">
        <v>500</v>
      </c>
      <c r="N212" s="974">
        <v>180</v>
      </c>
      <c r="O212" s="974">
        <v>1.9</v>
      </c>
      <c r="P212" s="974">
        <v>0.2</v>
      </c>
      <c r="Q212" s="974">
        <v>0.32</v>
      </c>
      <c r="R212" s="974">
        <v>0.41</v>
      </c>
    </row>
    <row r="213" spans="1:18" x14ac:dyDescent="0.35">
      <c r="A213" s="974" t="s">
        <v>1871</v>
      </c>
      <c r="B213" s="974" t="s">
        <v>1889</v>
      </c>
      <c r="C213" s="974">
        <v>175</v>
      </c>
      <c r="D213" s="974">
        <v>-38</v>
      </c>
      <c r="E213" s="974">
        <v>-40</v>
      </c>
      <c r="F213" s="974">
        <v>27</v>
      </c>
      <c r="G213" s="974">
        <v>19</v>
      </c>
      <c r="H213" s="974">
        <v>7900</v>
      </c>
      <c r="I213" s="974">
        <v>18</v>
      </c>
      <c r="J213" s="974">
        <v>76</v>
      </c>
      <c r="K213" s="974">
        <v>325</v>
      </c>
      <c r="L213" s="974">
        <v>0.7</v>
      </c>
      <c r="M213" s="974">
        <v>500</v>
      </c>
      <c r="N213" s="974">
        <v>120</v>
      </c>
      <c r="O213" s="974">
        <v>2.5</v>
      </c>
      <c r="P213" s="974">
        <v>0.2</v>
      </c>
      <c r="Q213" s="974">
        <v>0.31</v>
      </c>
      <c r="R213" s="974">
        <v>0.39</v>
      </c>
    </row>
    <row r="214" spans="1:18" x14ac:dyDescent="0.35">
      <c r="A214" s="974" t="s">
        <v>1871</v>
      </c>
      <c r="B214" s="974" t="s">
        <v>1890</v>
      </c>
      <c r="C214" s="974">
        <v>270</v>
      </c>
      <c r="D214" s="974">
        <v>-33</v>
      </c>
      <c r="E214" s="974">
        <v>-35</v>
      </c>
      <c r="F214" s="974">
        <v>29</v>
      </c>
      <c r="G214" s="974">
        <v>23</v>
      </c>
      <c r="H214" s="974">
        <v>5700</v>
      </c>
      <c r="I214" s="974">
        <v>28</v>
      </c>
      <c r="J214" s="974">
        <v>108</v>
      </c>
      <c r="K214" s="974">
        <v>440</v>
      </c>
      <c r="L214" s="974">
        <v>0.6</v>
      </c>
      <c r="M214" s="974">
        <v>500</v>
      </c>
      <c r="N214" s="974">
        <v>180</v>
      </c>
      <c r="O214" s="974">
        <v>2</v>
      </c>
      <c r="P214" s="974">
        <v>0.2</v>
      </c>
      <c r="Q214" s="974">
        <v>0.32</v>
      </c>
      <c r="R214" s="974">
        <v>0.4</v>
      </c>
    </row>
    <row r="215" spans="1:18" x14ac:dyDescent="0.35">
      <c r="A215" s="974" t="s">
        <v>1871</v>
      </c>
      <c r="B215" s="974" t="s">
        <v>1891</v>
      </c>
      <c r="C215" s="974">
        <v>335</v>
      </c>
      <c r="D215" s="974">
        <v>-34</v>
      </c>
      <c r="E215" s="974">
        <v>-37</v>
      </c>
      <c r="F215" s="974">
        <v>29</v>
      </c>
      <c r="G215" s="974">
        <v>22</v>
      </c>
      <c r="H215" s="974">
        <v>6100</v>
      </c>
      <c r="I215" s="974">
        <v>20</v>
      </c>
      <c r="J215" s="974">
        <v>92</v>
      </c>
      <c r="K215" s="974">
        <v>370</v>
      </c>
      <c r="L215" s="974">
        <v>0.6</v>
      </c>
      <c r="M215" s="974">
        <v>500</v>
      </c>
      <c r="N215" s="974">
        <v>120</v>
      </c>
      <c r="O215" s="974">
        <v>2</v>
      </c>
      <c r="P215" s="974">
        <v>0.2</v>
      </c>
      <c r="Q215" s="974">
        <v>0.28000000000000003</v>
      </c>
      <c r="R215" s="974">
        <v>0.35</v>
      </c>
    </row>
    <row r="216" spans="1:18" x14ac:dyDescent="0.35">
      <c r="A216" s="974" t="s">
        <v>1871</v>
      </c>
      <c r="B216" s="974" t="s">
        <v>1892</v>
      </c>
      <c r="C216" s="974">
        <v>270</v>
      </c>
      <c r="D216" s="974">
        <v>-36</v>
      </c>
      <c r="E216" s="974">
        <v>-38</v>
      </c>
      <c r="F216" s="974">
        <v>28</v>
      </c>
      <c r="G216" s="974">
        <v>21</v>
      </c>
      <c r="H216" s="974">
        <v>6480</v>
      </c>
      <c r="I216" s="974">
        <v>18</v>
      </c>
      <c r="J216" s="974">
        <v>81</v>
      </c>
      <c r="K216" s="974">
        <v>330</v>
      </c>
      <c r="L216" s="974">
        <v>0.6</v>
      </c>
      <c r="M216" s="974">
        <v>450</v>
      </c>
      <c r="N216" s="974">
        <v>160</v>
      </c>
      <c r="O216" s="974">
        <v>2.2000000000000002</v>
      </c>
      <c r="P216" s="974">
        <v>0.2</v>
      </c>
      <c r="Q216" s="974">
        <v>0.28999999999999998</v>
      </c>
      <c r="R216" s="974">
        <v>0.37</v>
      </c>
    </row>
    <row r="217" spans="1:18" x14ac:dyDescent="0.35">
      <c r="A217" s="974" t="s">
        <v>1871</v>
      </c>
      <c r="B217" s="974" t="s">
        <v>1893</v>
      </c>
      <c r="C217" s="974">
        <v>205</v>
      </c>
      <c r="D217" s="974">
        <v>-40</v>
      </c>
      <c r="E217" s="974">
        <v>-43</v>
      </c>
      <c r="F217" s="974">
        <v>27</v>
      </c>
      <c r="G217" s="974">
        <v>19</v>
      </c>
      <c r="H217" s="974">
        <v>7600</v>
      </c>
      <c r="I217" s="974">
        <v>18</v>
      </c>
      <c r="J217" s="974">
        <v>86</v>
      </c>
      <c r="K217" s="974">
        <v>350</v>
      </c>
      <c r="L217" s="974">
        <v>0.6</v>
      </c>
      <c r="M217" s="974">
        <v>540</v>
      </c>
      <c r="N217" s="974">
        <v>100</v>
      </c>
      <c r="O217" s="974">
        <v>2.4</v>
      </c>
      <c r="P217" s="974">
        <v>0.2</v>
      </c>
      <c r="Q217" s="974">
        <v>0.28000000000000003</v>
      </c>
      <c r="R217" s="974">
        <v>0.36</v>
      </c>
    </row>
    <row r="218" spans="1:18" x14ac:dyDescent="0.35">
      <c r="A218" s="974" t="s">
        <v>1871</v>
      </c>
      <c r="B218" s="974" t="s">
        <v>1894</v>
      </c>
      <c r="C218" s="974">
        <v>435</v>
      </c>
      <c r="D218" s="974">
        <v>-33</v>
      </c>
      <c r="E218" s="974">
        <v>-35</v>
      </c>
      <c r="F218" s="974">
        <v>30</v>
      </c>
      <c r="G218" s="974">
        <v>23</v>
      </c>
      <c r="H218" s="974">
        <v>5620</v>
      </c>
      <c r="I218" s="974">
        <v>28</v>
      </c>
      <c r="J218" s="974">
        <v>108</v>
      </c>
      <c r="K218" s="974">
        <v>350</v>
      </c>
      <c r="L218" s="974">
        <v>0.5</v>
      </c>
      <c r="M218" s="974">
        <v>460</v>
      </c>
      <c r="N218" s="974">
        <v>180</v>
      </c>
      <c r="O218" s="974">
        <v>2</v>
      </c>
      <c r="P218" s="974">
        <v>0.2</v>
      </c>
      <c r="Q218" s="974">
        <v>0.36</v>
      </c>
      <c r="R218" s="974">
        <v>0.46</v>
      </c>
    </row>
    <row r="219" spans="1:18" x14ac:dyDescent="0.35">
      <c r="A219" s="974" t="s">
        <v>1871</v>
      </c>
      <c r="B219" s="974" t="s">
        <v>1895</v>
      </c>
      <c r="C219" s="974">
        <v>235</v>
      </c>
      <c r="D219" s="974">
        <v>-33</v>
      </c>
      <c r="E219" s="974">
        <v>-35</v>
      </c>
      <c r="F219" s="974">
        <v>30</v>
      </c>
      <c r="G219" s="974">
        <v>23</v>
      </c>
      <c r="H219" s="974">
        <v>5670</v>
      </c>
      <c r="I219" s="974">
        <v>28</v>
      </c>
      <c r="J219" s="974">
        <v>108</v>
      </c>
      <c r="K219" s="974">
        <v>415</v>
      </c>
      <c r="L219" s="974">
        <v>0.6</v>
      </c>
      <c r="M219" s="974">
        <v>500</v>
      </c>
      <c r="N219" s="974">
        <v>180</v>
      </c>
      <c r="O219" s="974">
        <v>1.9</v>
      </c>
      <c r="P219" s="974">
        <v>0.2</v>
      </c>
      <c r="Q219" s="974">
        <v>0.36</v>
      </c>
      <c r="R219" s="974">
        <v>0.45</v>
      </c>
    </row>
    <row r="220" spans="1:18" x14ac:dyDescent="0.35">
      <c r="A220" s="974" t="s">
        <v>1896</v>
      </c>
      <c r="B220" s="974" t="s">
        <v>1897</v>
      </c>
      <c r="C220" s="974">
        <v>230</v>
      </c>
      <c r="D220" s="974">
        <v>-17</v>
      </c>
      <c r="E220" s="974">
        <v>-19</v>
      </c>
      <c r="F220" s="974">
        <v>30</v>
      </c>
      <c r="G220" s="974">
        <v>23</v>
      </c>
      <c r="H220" s="974">
        <v>3840</v>
      </c>
      <c r="I220" s="974">
        <v>25</v>
      </c>
      <c r="J220" s="974">
        <v>103</v>
      </c>
      <c r="K220" s="974">
        <v>800</v>
      </c>
      <c r="L220" s="974">
        <v>0.9</v>
      </c>
      <c r="M220" s="974">
        <v>950</v>
      </c>
      <c r="N220" s="974">
        <v>180</v>
      </c>
      <c r="O220" s="974">
        <v>2.2000000000000002</v>
      </c>
      <c r="P220" s="974">
        <v>0.4</v>
      </c>
      <c r="Q220" s="974">
        <v>0.37</v>
      </c>
      <c r="R220" s="974">
        <v>0.48</v>
      </c>
    </row>
    <row r="221" spans="1:18" x14ac:dyDescent="0.35">
      <c r="A221" s="974" t="s">
        <v>1896</v>
      </c>
      <c r="B221" s="974" t="s">
        <v>1898</v>
      </c>
      <c r="C221" s="974">
        <v>95</v>
      </c>
      <c r="D221" s="974">
        <v>-20</v>
      </c>
      <c r="E221" s="974">
        <v>-22</v>
      </c>
      <c r="F221" s="974">
        <v>30</v>
      </c>
      <c r="G221" s="974">
        <v>23</v>
      </c>
      <c r="H221" s="974">
        <v>3820</v>
      </c>
      <c r="I221" s="974">
        <v>23</v>
      </c>
      <c r="J221" s="974">
        <v>92</v>
      </c>
      <c r="K221" s="974">
        <v>760</v>
      </c>
      <c r="L221" s="974">
        <v>0.9</v>
      </c>
      <c r="M221" s="974">
        <v>825</v>
      </c>
      <c r="N221" s="974">
        <v>160</v>
      </c>
      <c r="O221" s="974">
        <v>1</v>
      </c>
      <c r="P221" s="974">
        <v>0.4</v>
      </c>
      <c r="Q221" s="974">
        <v>0.37</v>
      </c>
      <c r="R221" s="974">
        <v>0.48</v>
      </c>
    </row>
    <row r="222" spans="1:18" x14ac:dyDescent="0.35">
      <c r="A222" s="974" t="s">
        <v>1896</v>
      </c>
      <c r="B222" s="974" t="s">
        <v>1899</v>
      </c>
      <c r="C222" s="974">
        <v>80</v>
      </c>
      <c r="D222" s="974">
        <v>-24</v>
      </c>
      <c r="E222" s="974">
        <v>-26</v>
      </c>
      <c r="F222" s="974">
        <v>30</v>
      </c>
      <c r="G222" s="974">
        <v>23</v>
      </c>
      <c r="H222" s="974">
        <v>4600</v>
      </c>
      <c r="I222" s="974">
        <v>25</v>
      </c>
      <c r="J222" s="974">
        <v>103</v>
      </c>
      <c r="K222" s="974">
        <v>800</v>
      </c>
      <c r="L222" s="974">
        <v>0.9</v>
      </c>
      <c r="M222" s="974">
        <v>975</v>
      </c>
      <c r="N222" s="974">
        <v>160</v>
      </c>
      <c r="O222" s="974">
        <v>2.4</v>
      </c>
      <c r="P222" s="974">
        <v>0.4</v>
      </c>
      <c r="Q222" s="974">
        <v>0.31</v>
      </c>
      <c r="R222" s="974">
        <v>0.4</v>
      </c>
    </row>
    <row r="223" spans="1:18" x14ac:dyDescent="0.35">
      <c r="A223" s="974" t="s">
        <v>1896</v>
      </c>
      <c r="B223" s="974" t="s">
        <v>1900</v>
      </c>
      <c r="C223" s="974">
        <v>220</v>
      </c>
      <c r="D223" s="974">
        <v>-23</v>
      </c>
      <c r="E223" s="974">
        <v>-25</v>
      </c>
      <c r="F223" s="974">
        <v>29</v>
      </c>
      <c r="G223" s="974">
        <v>23</v>
      </c>
      <c r="H223" s="974">
        <v>4200</v>
      </c>
      <c r="I223" s="974">
        <v>28</v>
      </c>
      <c r="J223" s="974">
        <v>113</v>
      </c>
      <c r="K223" s="974">
        <v>690</v>
      </c>
      <c r="L223" s="974">
        <v>0.8</v>
      </c>
      <c r="M223" s="974">
        <v>875</v>
      </c>
      <c r="N223" s="974">
        <v>120</v>
      </c>
      <c r="O223" s="974">
        <v>2</v>
      </c>
      <c r="P223" s="974">
        <v>0.4</v>
      </c>
      <c r="Q223" s="974">
        <v>0.28000000000000003</v>
      </c>
      <c r="R223" s="974">
        <v>0.36</v>
      </c>
    </row>
    <row r="224" spans="1:18" x14ac:dyDescent="0.35">
      <c r="A224" s="974" t="s">
        <v>1896</v>
      </c>
      <c r="B224" s="974" t="s">
        <v>1901</v>
      </c>
      <c r="C224" s="974">
        <v>120</v>
      </c>
      <c r="D224" s="974">
        <v>-26</v>
      </c>
      <c r="E224" s="974">
        <v>-28</v>
      </c>
      <c r="F224" s="974">
        <v>30</v>
      </c>
      <c r="G224" s="974">
        <v>23</v>
      </c>
      <c r="H224" s="974">
        <v>4620</v>
      </c>
      <c r="I224" s="974">
        <v>25</v>
      </c>
      <c r="J224" s="974">
        <v>97</v>
      </c>
      <c r="K224" s="974">
        <v>730</v>
      </c>
      <c r="L224" s="974">
        <v>0.8</v>
      </c>
      <c r="M224" s="974">
        <v>800</v>
      </c>
      <c r="N224" s="974">
        <v>140</v>
      </c>
      <c r="O224" s="974">
        <v>2.5</v>
      </c>
      <c r="P224" s="974">
        <v>0.4</v>
      </c>
      <c r="Q224" s="974">
        <v>0.32</v>
      </c>
      <c r="R224" s="974">
        <v>0.41</v>
      </c>
    </row>
    <row r="225" spans="1:18" x14ac:dyDescent="0.35">
      <c r="A225" s="974" t="s">
        <v>1896</v>
      </c>
      <c r="B225" s="974" t="s">
        <v>1902</v>
      </c>
      <c r="C225" s="974">
        <v>340</v>
      </c>
      <c r="D225" s="974">
        <v>-37</v>
      </c>
      <c r="E225" s="974">
        <v>-40</v>
      </c>
      <c r="F225" s="974">
        <v>28</v>
      </c>
      <c r="G225" s="974">
        <v>21</v>
      </c>
      <c r="H225" s="974">
        <v>6500</v>
      </c>
      <c r="I225" s="974">
        <v>23</v>
      </c>
      <c r="J225" s="974">
        <v>97</v>
      </c>
      <c r="K225" s="974">
        <v>525</v>
      </c>
      <c r="L225" s="974">
        <v>0.8</v>
      </c>
      <c r="M225" s="974">
        <v>725</v>
      </c>
      <c r="N225" s="974">
        <v>100</v>
      </c>
      <c r="O225" s="974">
        <v>2.7</v>
      </c>
      <c r="P225" s="974">
        <v>0.4</v>
      </c>
      <c r="Q225" s="974">
        <v>0.22</v>
      </c>
      <c r="R225" s="974">
        <v>0.3</v>
      </c>
    </row>
    <row r="226" spans="1:18" x14ac:dyDescent="0.35">
      <c r="A226" s="974" t="s">
        <v>1896</v>
      </c>
      <c r="B226" s="974" t="s">
        <v>1903</v>
      </c>
      <c r="C226" s="974">
        <v>85</v>
      </c>
      <c r="D226" s="974">
        <v>-27</v>
      </c>
      <c r="E226" s="974">
        <v>-29</v>
      </c>
      <c r="F226" s="974">
        <v>30</v>
      </c>
      <c r="G226" s="974">
        <v>23</v>
      </c>
      <c r="H226" s="974">
        <v>4680</v>
      </c>
      <c r="I226" s="974">
        <v>23</v>
      </c>
      <c r="J226" s="974">
        <v>86</v>
      </c>
      <c r="K226" s="974">
        <v>630</v>
      </c>
      <c r="L226" s="974">
        <v>0.8</v>
      </c>
      <c r="M226" s="974">
        <v>775</v>
      </c>
      <c r="N226" s="974">
        <v>140</v>
      </c>
      <c r="O226" s="974">
        <v>2.5</v>
      </c>
      <c r="P226" s="974">
        <v>0.4</v>
      </c>
      <c r="Q226" s="974">
        <v>0.28999999999999998</v>
      </c>
      <c r="R226" s="974">
        <v>0.37</v>
      </c>
    </row>
    <row r="227" spans="1:18" x14ac:dyDescent="0.35">
      <c r="A227" s="974" t="s">
        <v>1896</v>
      </c>
      <c r="B227" s="974" t="s">
        <v>1904</v>
      </c>
      <c r="C227" s="974">
        <v>400</v>
      </c>
      <c r="D227" s="974">
        <v>-33</v>
      </c>
      <c r="E227" s="974">
        <v>-35</v>
      </c>
      <c r="F227" s="974">
        <v>29</v>
      </c>
      <c r="G227" s="974">
        <v>22</v>
      </c>
      <c r="H227" s="974">
        <v>5750</v>
      </c>
      <c r="I227" s="974">
        <v>25</v>
      </c>
      <c r="J227" s="974">
        <v>103</v>
      </c>
      <c r="K227" s="974">
        <v>570</v>
      </c>
      <c r="L227" s="974">
        <v>0.8</v>
      </c>
      <c r="M227" s="974">
        <v>760</v>
      </c>
      <c r="N227" s="974">
        <v>100</v>
      </c>
      <c r="O227" s="974">
        <v>2.4</v>
      </c>
      <c r="P227" s="974">
        <v>0.3</v>
      </c>
      <c r="Q227" s="974">
        <v>0.22</v>
      </c>
      <c r="R227" s="974">
        <v>0.3</v>
      </c>
    </row>
    <row r="228" spans="1:18" x14ac:dyDescent="0.35">
      <c r="A228" s="974" t="s">
        <v>1896</v>
      </c>
      <c r="B228" s="974" t="s">
        <v>1905</v>
      </c>
      <c r="C228" s="974">
        <v>10</v>
      </c>
      <c r="D228" s="974">
        <v>-37</v>
      </c>
      <c r="E228" s="974">
        <v>-39</v>
      </c>
      <c r="F228" s="974">
        <v>28</v>
      </c>
      <c r="G228" s="974">
        <v>21</v>
      </c>
      <c r="H228" s="974">
        <v>7100</v>
      </c>
      <c r="I228" s="974">
        <v>18</v>
      </c>
      <c r="J228" s="974">
        <v>81</v>
      </c>
      <c r="K228" s="974">
        <v>450</v>
      </c>
      <c r="L228" s="974">
        <v>0.8</v>
      </c>
      <c r="M228" s="974">
        <v>650</v>
      </c>
      <c r="N228" s="974">
        <v>160</v>
      </c>
      <c r="O228" s="974">
        <v>2.8</v>
      </c>
      <c r="P228" s="974">
        <v>0.3</v>
      </c>
      <c r="Q228" s="974">
        <v>0.3</v>
      </c>
      <c r="R228" s="974">
        <v>0.41</v>
      </c>
    </row>
    <row r="229" spans="1:18" x14ac:dyDescent="0.35">
      <c r="A229" s="974" t="s">
        <v>1896</v>
      </c>
      <c r="B229" s="974" t="s">
        <v>1906</v>
      </c>
      <c r="C229" s="974">
        <v>270</v>
      </c>
      <c r="D229" s="974">
        <v>-21</v>
      </c>
      <c r="E229" s="974">
        <v>-23</v>
      </c>
      <c r="F229" s="974">
        <v>30</v>
      </c>
      <c r="G229" s="974">
        <v>23</v>
      </c>
      <c r="H229" s="974">
        <v>4210</v>
      </c>
      <c r="I229" s="974">
        <v>28</v>
      </c>
      <c r="J229" s="974">
        <v>108</v>
      </c>
      <c r="K229" s="974">
        <v>700</v>
      </c>
      <c r="L229" s="974">
        <v>0.8</v>
      </c>
      <c r="M229" s="974">
        <v>800</v>
      </c>
      <c r="N229" s="974">
        <v>140</v>
      </c>
      <c r="O229" s="974">
        <v>2</v>
      </c>
      <c r="P229" s="974">
        <v>0.4</v>
      </c>
      <c r="Q229" s="974">
        <v>0.34</v>
      </c>
      <c r="R229" s="974">
        <v>0.44</v>
      </c>
    </row>
    <row r="230" spans="1:18" x14ac:dyDescent="0.35">
      <c r="A230" s="974" t="s">
        <v>1896</v>
      </c>
      <c r="B230" s="974" t="s">
        <v>1907</v>
      </c>
      <c r="C230" s="974">
        <v>365</v>
      </c>
      <c r="D230" s="974">
        <v>-28</v>
      </c>
      <c r="E230" s="974">
        <v>-31</v>
      </c>
      <c r="F230" s="974">
        <v>29</v>
      </c>
      <c r="G230" s="974">
        <v>23</v>
      </c>
      <c r="H230" s="974">
        <v>4740</v>
      </c>
      <c r="I230" s="974">
        <v>25</v>
      </c>
      <c r="J230" s="974">
        <v>92</v>
      </c>
      <c r="K230" s="974">
        <v>720</v>
      </c>
      <c r="L230" s="974">
        <v>0.9</v>
      </c>
      <c r="M230" s="974">
        <v>900</v>
      </c>
      <c r="N230" s="974">
        <v>100</v>
      </c>
      <c r="O230" s="974">
        <v>3.1</v>
      </c>
      <c r="P230" s="974">
        <v>0.4</v>
      </c>
      <c r="Q230" s="974">
        <v>0.25</v>
      </c>
      <c r="R230" s="974">
        <v>0.32</v>
      </c>
    </row>
    <row r="231" spans="1:18" x14ac:dyDescent="0.35">
      <c r="A231" s="974" t="s">
        <v>1896</v>
      </c>
      <c r="B231" s="974" t="s">
        <v>1908</v>
      </c>
      <c r="C231" s="974">
        <v>245</v>
      </c>
      <c r="D231" s="974">
        <v>-24</v>
      </c>
      <c r="E231" s="974">
        <v>-26</v>
      </c>
      <c r="F231" s="974">
        <v>29</v>
      </c>
      <c r="G231" s="974">
        <v>23</v>
      </c>
      <c r="H231" s="974">
        <v>4380</v>
      </c>
      <c r="I231" s="974">
        <v>28</v>
      </c>
      <c r="J231" s="974">
        <v>97</v>
      </c>
      <c r="K231" s="974">
        <v>700</v>
      </c>
      <c r="L231" s="974">
        <v>0.8</v>
      </c>
      <c r="M231" s="974">
        <v>900</v>
      </c>
      <c r="N231" s="974">
        <v>120</v>
      </c>
      <c r="O231" s="974">
        <v>2.5</v>
      </c>
      <c r="P231" s="974">
        <v>0.4</v>
      </c>
      <c r="Q231" s="974">
        <v>0.28000000000000003</v>
      </c>
      <c r="R231" s="974">
        <v>0.36</v>
      </c>
    </row>
    <row r="232" spans="1:18" x14ac:dyDescent="0.35">
      <c r="A232" s="974" t="s">
        <v>1896</v>
      </c>
      <c r="B232" s="974" t="s">
        <v>1909</v>
      </c>
      <c r="C232" s="974">
        <v>100</v>
      </c>
      <c r="D232" s="974">
        <v>-22</v>
      </c>
      <c r="E232" s="974">
        <v>-24</v>
      </c>
      <c r="F232" s="974">
        <v>28</v>
      </c>
      <c r="G232" s="974">
        <v>23</v>
      </c>
      <c r="H232" s="974">
        <v>3990</v>
      </c>
      <c r="I232" s="974">
        <v>23</v>
      </c>
      <c r="J232" s="974">
        <v>108</v>
      </c>
      <c r="K232" s="974">
        <v>780</v>
      </c>
      <c r="L232" s="974">
        <v>1</v>
      </c>
      <c r="M232" s="974">
        <v>950</v>
      </c>
      <c r="N232" s="974">
        <v>160</v>
      </c>
      <c r="O232" s="974">
        <v>2.1</v>
      </c>
      <c r="P232" s="974">
        <v>0.4</v>
      </c>
      <c r="Q232" s="974">
        <v>0.37</v>
      </c>
      <c r="R232" s="974">
        <v>0.47</v>
      </c>
    </row>
    <row r="233" spans="1:18" x14ac:dyDescent="0.35">
      <c r="A233" s="974" t="s">
        <v>1896</v>
      </c>
      <c r="B233" s="974" t="s">
        <v>1910</v>
      </c>
      <c r="C233" s="974">
        <v>240</v>
      </c>
      <c r="D233" s="974">
        <v>-24</v>
      </c>
      <c r="E233" s="974">
        <v>-26</v>
      </c>
      <c r="F233" s="974">
        <v>30</v>
      </c>
      <c r="G233" s="974">
        <v>23</v>
      </c>
      <c r="H233" s="974">
        <v>4300</v>
      </c>
      <c r="I233" s="974">
        <v>25</v>
      </c>
      <c r="J233" s="974">
        <v>108</v>
      </c>
      <c r="K233" s="974">
        <v>720</v>
      </c>
      <c r="L233" s="974">
        <v>0.9</v>
      </c>
      <c r="M233" s="974">
        <v>950</v>
      </c>
      <c r="N233" s="974">
        <v>120</v>
      </c>
      <c r="O233" s="974">
        <v>2.2000000000000002</v>
      </c>
      <c r="P233" s="974">
        <v>0.4</v>
      </c>
      <c r="Q233" s="974">
        <v>0.28000000000000003</v>
      </c>
      <c r="R233" s="974">
        <v>0.36</v>
      </c>
    </row>
    <row r="234" spans="1:18" x14ac:dyDescent="0.35">
      <c r="A234" s="974" t="s">
        <v>1896</v>
      </c>
      <c r="B234" s="974" t="s">
        <v>1911</v>
      </c>
      <c r="C234" s="974">
        <v>90</v>
      </c>
      <c r="D234" s="974">
        <v>-22</v>
      </c>
      <c r="E234" s="974">
        <v>-24</v>
      </c>
      <c r="F234" s="974">
        <v>29</v>
      </c>
      <c r="G234" s="974">
        <v>23</v>
      </c>
      <c r="H234" s="974">
        <v>3910</v>
      </c>
      <c r="I234" s="974">
        <v>23</v>
      </c>
      <c r="J234" s="974">
        <v>97</v>
      </c>
      <c r="K234" s="974">
        <v>760</v>
      </c>
      <c r="L234" s="974">
        <v>0.9</v>
      </c>
      <c r="M234" s="974">
        <v>850</v>
      </c>
      <c r="N234" s="974">
        <v>180</v>
      </c>
      <c r="O234" s="974">
        <v>1.7</v>
      </c>
      <c r="P234" s="974">
        <v>0.4</v>
      </c>
      <c r="Q234" s="974">
        <v>0.34</v>
      </c>
      <c r="R234" s="974">
        <v>0.43</v>
      </c>
    </row>
    <row r="235" spans="1:18" x14ac:dyDescent="0.35">
      <c r="A235" s="974" t="s">
        <v>1896</v>
      </c>
      <c r="B235" s="974" t="s">
        <v>1912</v>
      </c>
      <c r="C235" s="974">
        <v>260</v>
      </c>
      <c r="D235" s="974">
        <v>-17</v>
      </c>
      <c r="E235" s="974">
        <v>-19</v>
      </c>
      <c r="F235" s="974">
        <v>30</v>
      </c>
      <c r="G235" s="974">
        <v>24</v>
      </c>
      <c r="H235" s="974">
        <v>3840</v>
      </c>
      <c r="I235" s="974">
        <v>25</v>
      </c>
      <c r="J235" s="974">
        <v>97</v>
      </c>
      <c r="K235" s="974">
        <v>850</v>
      </c>
      <c r="L235" s="974">
        <v>1</v>
      </c>
      <c r="M235" s="974">
        <v>950</v>
      </c>
      <c r="N235" s="974">
        <v>180</v>
      </c>
      <c r="O235" s="974">
        <v>1.7</v>
      </c>
      <c r="P235" s="974">
        <v>0.4</v>
      </c>
      <c r="Q235" s="974">
        <v>0.37</v>
      </c>
      <c r="R235" s="974">
        <v>0.47</v>
      </c>
    </row>
    <row r="236" spans="1:18" x14ac:dyDescent="0.35">
      <c r="A236" s="974" t="s">
        <v>1896</v>
      </c>
      <c r="B236" s="974" t="s">
        <v>1913</v>
      </c>
      <c r="C236" s="974">
        <v>225</v>
      </c>
      <c r="D236" s="974">
        <v>-23</v>
      </c>
      <c r="E236" s="974">
        <v>-25</v>
      </c>
      <c r="F236" s="974">
        <v>29</v>
      </c>
      <c r="G236" s="974">
        <v>23</v>
      </c>
      <c r="H236" s="974">
        <v>4300</v>
      </c>
      <c r="I236" s="974">
        <v>28</v>
      </c>
      <c r="J236" s="974">
        <v>103</v>
      </c>
      <c r="K236" s="974">
        <v>690</v>
      </c>
      <c r="L236" s="974">
        <v>0.82</v>
      </c>
      <c r="M236" s="974">
        <v>875</v>
      </c>
      <c r="N236" s="974">
        <v>120</v>
      </c>
      <c r="O236" s="974">
        <v>2.2000000000000002</v>
      </c>
      <c r="P236" s="974">
        <v>0.4</v>
      </c>
      <c r="Q236" s="974">
        <v>0.28000000000000003</v>
      </c>
      <c r="R236" s="974">
        <v>0.36</v>
      </c>
    </row>
    <row r="237" spans="1:18" x14ac:dyDescent="0.35">
      <c r="A237" s="974" t="s">
        <v>1896</v>
      </c>
      <c r="B237" s="974" t="s">
        <v>1914</v>
      </c>
      <c r="C237" s="974">
        <v>310</v>
      </c>
      <c r="D237" s="974">
        <v>-26</v>
      </c>
      <c r="E237" s="974">
        <v>-28</v>
      </c>
      <c r="F237" s="974">
        <v>29</v>
      </c>
      <c r="G237" s="974">
        <v>23</v>
      </c>
      <c r="H237" s="974">
        <v>4800</v>
      </c>
      <c r="I237" s="974">
        <v>25</v>
      </c>
      <c r="J237" s="974">
        <v>103</v>
      </c>
      <c r="K237" s="974">
        <v>830</v>
      </c>
      <c r="L237" s="974">
        <v>1</v>
      </c>
      <c r="M237" s="974">
        <v>1050</v>
      </c>
      <c r="N237" s="974">
        <v>120</v>
      </c>
      <c r="O237" s="974">
        <v>3.1</v>
      </c>
      <c r="P237" s="974">
        <v>0.4</v>
      </c>
      <c r="Q237" s="974">
        <v>0.27</v>
      </c>
      <c r="R237" s="974">
        <v>0.35</v>
      </c>
    </row>
    <row r="238" spans="1:18" x14ac:dyDescent="0.35">
      <c r="A238" s="974" t="s">
        <v>1896</v>
      </c>
      <c r="B238" s="974" t="s">
        <v>1915</v>
      </c>
      <c r="C238" s="974">
        <v>240</v>
      </c>
      <c r="D238" s="974">
        <v>-23</v>
      </c>
      <c r="E238" s="974">
        <v>-25</v>
      </c>
      <c r="F238" s="974">
        <v>30</v>
      </c>
      <c r="G238" s="974">
        <v>23</v>
      </c>
      <c r="H238" s="974">
        <v>4280</v>
      </c>
      <c r="I238" s="974">
        <v>28</v>
      </c>
      <c r="J238" s="974">
        <v>108</v>
      </c>
      <c r="K238" s="974">
        <v>680</v>
      </c>
      <c r="L238" s="974">
        <v>0.8</v>
      </c>
      <c r="M238" s="974">
        <v>800</v>
      </c>
      <c r="N238" s="974">
        <v>120</v>
      </c>
      <c r="O238" s="974">
        <v>2.1</v>
      </c>
      <c r="P238" s="974">
        <v>0.4</v>
      </c>
      <c r="Q238" s="974">
        <v>0.28000000000000003</v>
      </c>
      <c r="R238" s="974">
        <v>0.36</v>
      </c>
    </row>
    <row r="239" spans="1:18" x14ac:dyDescent="0.35">
      <c r="A239" s="974" t="s">
        <v>1896</v>
      </c>
      <c r="B239" s="974" t="s">
        <v>1916</v>
      </c>
      <c r="C239" s="974">
        <v>215</v>
      </c>
      <c r="D239" s="974">
        <v>-19</v>
      </c>
      <c r="E239" s="974">
        <v>-21</v>
      </c>
      <c r="F239" s="974">
        <v>30</v>
      </c>
      <c r="G239" s="974">
        <v>23</v>
      </c>
      <c r="H239" s="974">
        <v>4100</v>
      </c>
      <c r="I239" s="974">
        <v>28</v>
      </c>
      <c r="J239" s="974">
        <v>119</v>
      </c>
      <c r="K239" s="974">
        <v>720</v>
      </c>
      <c r="L239" s="974">
        <v>0.8</v>
      </c>
      <c r="M239" s="974">
        <v>820</v>
      </c>
      <c r="N239" s="974">
        <v>140</v>
      </c>
      <c r="O239" s="974">
        <v>1.3</v>
      </c>
      <c r="P239" s="974">
        <v>0.4</v>
      </c>
      <c r="Q239" s="974">
        <v>0.34</v>
      </c>
      <c r="R239" s="974">
        <v>0.44</v>
      </c>
    </row>
    <row r="240" spans="1:18" x14ac:dyDescent="0.35">
      <c r="A240" s="974" t="s">
        <v>1896</v>
      </c>
      <c r="B240" s="974" t="s">
        <v>1917</v>
      </c>
      <c r="C240" s="974">
        <v>205</v>
      </c>
      <c r="D240" s="974">
        <v>-18</v>
      </c>
      <c r="E240" s="974">
        <v>-20</v>
      </c>
      <c r="F240" s="974">
        <v>30</v>
      </c>
      <c r="G240" s="974">
        <v>23</v>
      </c>
      <c r="H240" s="974">
        <v>3900</v>
      </c>
      <c r="I240" s="974">
        <v>23</v>
      </c>
      <c r="J240" s="974">
        <v>103</v>
      </c>
      <c r="K240" s="974">
        <v>780</v>
      </c>
      <c r="L240" s="974">
        <v>0.9</v>
      </c>
      <c r="M240" s="974">
        <v>850</v>
      </c>
      <c r="N240" s="974">
        <v>160</v>
      </c>
      <c r="O240" s="974">
        <v>1.3</v>
      </c>
      <c r="P240" s="974">
        <v>0.4</v>
      </c>
      <c r="Q240" s="974">
        <v>0.33</v>
      </c>
      <c r="R240" s="974">
        <v>0.42</v>
      </c>
    </row>
    <row r="241" spans="1:18" x14ac:dyDescent="0.35">
      <c r="A241" s="974" t="s">
        <v>1896</v>
      </c>
      <c r="B241" s="974" t="s">
        <v>1918</v>
      </c>
      <c r="C241" s="974">
        <v>95</v>
      </c>
      <c r="D241" s="974">
        <v>-21</v>
      </c>
      <c r="E241" s="974">
        <v>-23</v>
      </c>
      <c r="F241" s="974">
        <v>29</v>
      </c>
      <c r="G241" s="974">
        <v>23</v>
      </c>
      <c r="H241" s="974">
        <v>4000</v>
      </c>
      <c r="I241" s="974">
        <v>23</v>
      </c>
      <c r="J241" s="974">
        <v>94</v>
      </c>
      <c r="K241" s="974">
        <v>760</v>
      </c>
      <c r="L241" s="974">
        <v>0.9</v>
      </c>
      <c r="M241" s="974">
        <v>850</v>
      </c>
      <c r="N241" s="974">
        <v>160</v>
      </c>
      <c r="O241" s="974">
        <v>1.6</v>
      </c>
      <c r="P241" s="974">
        <v>0.4</v>
      </c>
      <c r="Q241" s="974">
        <v>0.37</v>
      </c>
      <c r="R241" s="974">
        <v>0.48</v>
      </c>
    </row>
    <row r="242" spans="1:18" x14ac:dyDescent="0.35">
      <c r="A242" s="974" t="s">
        <v>1896</v>
      </c>
      <c r="B242" s="974" t="s">
        <v>1919</v>
      </c>
      <c r="C242" s="974">
        <v>85</v>
      </c>
      <c r="D242" s="974">
        <v>-23</v>
      </c>
      <c r="E242" s="974">
        <v>-25</v>
      </c>
      <c r="F242" s="974">
        <v>29</v>
      </c>
      <c r="G242" s="974">
        <v>23</v>
      </c>
      <c r="H242" s="974">
        <v>4060</v>
      </c>
      <c r="I242" s="974">
        <v>25</v>
      </c>
      <c r="J242" s="974">
        <v>103</v>
      </c>
      <c r="K242" s="974">
        <v>770</v>
      </c>
      <c r="L242" s="974">
        <v>0.9</v>
      </c>
      <c r="M242" s="974">
        <v>975</v>
      </c>
      <c r="N242" s="974">
        <v>180</v>
      </c>
      <c r="O242" s="974">
        <v>2.2000000000000002</v>
      </c>
      <c r="P242" s="974">
        <v>0.4</v>
      </c>
      <c r="Q242" s="974">
        <v>0.34</v>
      </c>
      <c r="R242" s="974">
        <v>0.44</v>
      </c>
    </row>
    <row r="243" spans="1:18" x14ac:dyDescent="0.35">
      <c r="A243" s="974" t="s">
        <v>1896</v>
      </c>
      <c r="B243" s="974" t="s">
        <v>1920</v>
      </c>
      <c r="C243" s="974">
        <v>305</v>
      </c>
      <c r="D243" s="974">
        <v>-26</v>
      </c>
      <c r="E243" s="974">
        <v>-28</v>
      </c>
      <c r="F243" s="974">
        <v>29</v>
      </c>
      <c r="G243" s="974">
        <v>22</v>
      </c>
      <c r="H243" s="974">
        <v>5020</v>
      </c>
      <c r="I243" s="974">
        <v>25</v>
      </c>
      <c r="J243" s="974">
        <v>97</v>
      </c>
      <c r="K243" s="974">
        <v>810</v>
      </c>
      <c r="L243" s="974">
        <v>0.9</v>
      </c>
      <c r="M243" s="974">
        <v>1010</v>
      </c>
      <c r="N243" s="974">
        <v>120</v>
      </c>
      <c r="O243" s="974">
        <v>2.7</v>
      </c>
      <c r="P243" s="974">
        <v>0.4</v>
      </c>
      <c r="Q243" s="974">
        <v>0.27</v>
      </c>
      <c r="R243" s="974">
        <v>0.35</v>
      </c>
    </row>
    <row r="244" spans="1:18" x14ac:dyDescent="0.35">
      <c r="A244" s="974" t="s">
        <v>1896</v>
      </c>
      <c r="B244" s="974" t="s">
        <v>1921</v>
      </c>
      <c r="C244" s="974">
        <v>80</v>
      </c>
      <c r="D244" s="974">
        <v>-17</v>
      </c>
      <c r="E244" s="974">
        <v>-19</v>
      </c>
      <c r="F244" s="974">
        <v>31</v>
      </c>
      <c r="G244" s="974">
        <v>23</v>
      </c>
      <c r="H244" s="974">
        <v>3740</v>
      </c>
      <c r="I244" s="974">
        <v>23</v>
      </c>
      <c r="J244" s="974">
        <v>103</v>
      </c>
      <c r="K244" s="974">
        <v>770</v>
      </c>
      <c r="L244" s="974">
        <v>0.9</v>
      </c>
      <c r="M244" s="974">
        <v>850</v>
      </c>
      <c r="N244" s="974">
        <v>160</v>
      </c>
      <c r="O244" s="974">
        <v>1.1000000000000001</v>
      </c>
      <c r="P244" s="974">
        <v>0.4</v>
      </c>
      <c r="Q244" s="974">
        <v>0.36</v>
      </c>
      <c r="R244" s="974">
        <v>0.46</v>
      </c>
    </row>
    <row r="245" spans="1:18" x14ac:dyDescent="0.35">
      <c r="A245" s="974" t="s">
        <v>1896</v>
      </c>
      <c r="B245" s="974" t="s">
        <v>1922</v>
      </c>
      <c r="C245" s="974">
        <v>295</v>
      </c>
      <c r="D245" s="974">
        <v>-18</v>
      </c>
      <c r="E245" s="974">
        <v>-20</v>
      </c>
      <c r="F245" s="974">
        <v>29</v>
      </c>
      <c r="G245" s="974">
        <v>23</v>
      </c>
      <c r="H245" s="974">
        <v>4100</v>
      </c>
      <c r="I245" s="974">
        <v>25</v>
      </c>
      <c r="J245" s="974">
        <v>113</v>
      </c>
      <c r="K245" s="974">
        <v>800</v>
      </c>
      <c r="L245" s="974">
        <v>0.9</v>
      </c>
      <c r="M245" s="974">
        <v>890</v>
      </c>
      <c r="N245" s="974">
        <v>160</v>
      </c>
      <c r="O245" s="974">
        <v>1.6</v>
      </c>
      <c r="P245" s="974">
        <v>0.4</v>
      </c>
      <c r="Q245" s="974">
        <v>0.28000000000000003</v>
      </c>
      <c r="R245" s="974">
        <v>0.36</v>
      </c>
    </row>
    <row r="246" spans="1:18" x14ac:dyDescent="0.35">
      <c r="A246" s="974" t="s">
        <v>1896</v>
      </c>
      <c r="B246" s="974" t="s">
        <v>1923</v>
      </c>
      <c r="C246" s="974">
        <v>150</v>
      </c>
      <c r="D246" s="974">
        <v>-23</v>
      </c>
      <c r="E246" s="974">
        <v>-26</v>
      </c>
      <c r="F246" s="974">
        <v>30</v>
      </c>
      <c r="G246" s="974">
        <v>23</v>
      </c>
      <c r="H246" s="974">
        <v>4280</v>
      </c>
      <c r="I246" s="974">
        <v>25</v>
      </c>
      <c r="J246" s="974">
        <v>97</v>
      </c>
      <c r="K246" s="974">
        <v>730</v>
      </c>
      <c r="L246" s="974">
        <v>0.9</v>
      </c>
      <c r="M246" s="974">
        <v>850</v>
      </c>
      <c r="N246" s="974">
        <v>160</v>
      </c>
      <c r="O246" s="974">
        <v>1.7</v>
      </c>
      <c r="P246" s="974">
        <v>0.4</v>
      </c>
      <c r="Q246" s="974">
        <v>0.32</v>
      </c>
      <c r="R246" s="974">
        <v>0.41</v>
      </c>
    </row>
    <row r="247" spans="1:18" x14ac:dyDescent="0.35">
      <c r="A247" s="974" t="s">
        <v>1896</v>
      </c>
      <c r="B247" s="974" t="s">
        <v>1924</v>
      </c>
      <c r="C247" s="974">
        <v>255</v>
      </c>
      <c r="D247" s="974">
        <v>-24</v>
      </c>
      <c r="E247" s="974">
        <v>-26</v>
      </c>
      <c r="F247" s="974">
        <v>30</v>
      </c>
      <c r="G247" s="974">
        <v>23</v>
      </c>
      <c r="H247" s="974">
        <v>4310</v>
      </c>
      <c r="I247" s="974">
        <v>25</v>
      </c>
      <c r="J247" s="974">
        <v>108</v>
      </c>
      <c r="K247" s="974">
        <v>740</v>
      </c>
      <c r="L247" s="974">
        <v>0.9</v>
      </c>
      <c r="M247" s="974">
        <v>950</v>
      </c>
      <c r="N247" s="974">
        <v>120</v>
      </c>
      <c r="O247" s="974">
        <v>2.2000000000000002</v>
      </c>
      <c r="P247" s="974">
        <v>0.4</v>
      </c>
      <c r="Q247" s="974">
        <v>0.28000000000000003</v>
      </c>
      <c r="R247" s="974">
        <v>0.36</v>
      </c>
    </row>
    <row r="248" spans="1:18" x14ac:dyDescent="0.35">
      <c r="A248" s="974" t="s">
        <v>1896</v>
      </c>
      <c r="B248" s="974" t="s">
        <v>1925</v>
      </c>
      <c r="C248" s="974">
        <v>135</v>
      </c>
      <c r="D248" s="974">
        <v>-25</v>
      </c>
      <c r="E248" s="974">
        <v>-27</v>
      </c>
      <c r="F248" s="974">
        <v>30</v>
      </c>
      <c r="G248" s="974">
        <v>23</v>
      </c>
      <c r="H248" s="974">
        <v>4600</v>
      </c>
      <c r="I248" s="974">
        <v>25</v>
      </c>
      <c r="J248" s="974">
        <v>97</v>
      </c>
      <c r="K248" s="974">
        <v>730</v>
      </c>
      <c r="L248" s="974">
        <v>0.8</v>
      </c>
      <c r="M248" s="974">
        <v>850</v>
      </c>
      <c r="N248" s="974">
        <v>160</v>
      </c>
      <c r="O248" s="974">
        <v>2.5</v>
      </c>
      <c r="P248" s="974">
        <v>0.4</v>
      </c>
      <c r="Q248" s="974">
        <v>0.32</v>
      </c>
      <c r="R248" s="974">
        <v>0.41</v>
      </c>
    </row>
    <row r="249" spans="1:18" x14ac:dyDescent="0.35">
      <c r="A249" s="974" t="s">
        <v>1896</v>
      </c>
      <c r="B249" s="974" t="s">
        <v>1926</v>
      </c>
      <c r="C249" s="974">
        <v>200</v>
      </c>
      <c r="D249" s="974">
        <v>-23</v>
      </c>
      <c r="E249" s="974">
        <v>-25</v>
      </c>
      <c r="F249" s="974">
        <v>30</v>
      </c>
      <c r="G249" s="974">
        <v>23</v>
      </c>
      <c r="H249" s="974">
        <v>4400</v>
      </c>
      <c r="I249" s="974">
        <v>25</v>
      </c>
      <c r="J249" s="974">
        <v>97</v>
      </c>
      <c r="K249" s="974">
        <v>740</v>
      </c>
      <c r="L249" s="974">
        <v>0.9</v>
      </c>
      <c r="M249" s="974">
        <v>850</v>
      </c>
      <c r="N249" s="974">
        <v>140</v>
      </c>
      <c r="O249" s="974">
        <v>2</v>
      </c>
      <c r="P249" s="974">
        <v>0.4</v>
      </c>
      <c r="Q249" s="974">
        <v>0.34</v>
      </c>
      <c r="R249" s="974">
        <v>0.44</v>
      </c>
    </row>
    <row r="250" spans="1:18" x14ac:dyDescent="0.35">
      <c r="A250" s="974" t="s">
        <v>1896</v>
      </c>
      <c r="B250" s="974" t="s">
        <v>1927</v>
      </c>
      <c r="C250" s="974">
        <v>260</v>
      </c>
      <c r="D250" s="974">
        <v>-17</v>
      </c>
      <c r="E250" s="974">
        <v>-19</v>
      </c>
      <c r="F250" s="974">
        <v>30</v>
      </c>
      <c r="G250" s="974">
        <v>23</v>
      </c>
      <c r="H250" s="974">
        <v>3800</v>
      </c>
      <c r="I250" s="974">
        <v>25</v>
      </c>
      <c r="J250" s="974">
        <v>103</v>
      </c>
      <c r="K250" s="974">
        <v>820</v>
      </c>
      <c r="L250" s="974">
        <v>1</v>
      </c>
      <c r="M250" s="974">
        <v>1000</v>
      </c>
      <c r="N250" s="974">
        <v>180</v>
      </c>
      <c r="O250" s="974">
        <v>2.2999999999999998</v>
      </c>
      <c r="P250" s="974">
        <v>0.4</v>
      </c>
      <c r="Q250" s="974">
        <v>0.37</v>
      </c>
      <c r="R250" s="974">
        <v>0.48</v>
      </c>
    </row>
    <row r="251" spans="1:18" x14ac:dyDescent="0.35">
      <c r="A251" s="974" t="s">
        <v>1896</v>
      </c>
      <c r="B251" s="974" t="s">
        <v>1928</v>
      </c>
      <c r="C251" s="974">
        <v>425</v>
      </c>
      <c r="D251" s="974">
        <v>-35</v>
      </c>
      <c r="E251" s="974">
        <v>-38</v>
      </c>
      <c r="F251" s="974">
        <v>27</v>
      </c>
      <c r="G251" s="974">
        <v>21</v>
      </c>
      <c r="H251" s="974">
        <v>5900</v>
      </c>
      <c r="I251" s="974">
        <v>20</v>
      </c>
      <c r="J251" s="974">
        <v>97</v>
      </c>
      <c r="K251" s="974">
        <v>530</v>
      </c>
      <c r="L251" s="974">
        <v>0.7</v>
      </c>
      <c r="M251" s="974">
        <v>850</v>
      </c>
      <c r="N251" s="974">
        <v>80</v>
      </c>
      <c r="O251" s="974">
        <v>3.6</v>
      </c>
      <c r="P251" s="974">
        <v>0.4</v>
      </c>
      <c r="Q251" s="974">
        <v>0.23</v>
      </c>
      <c r="R251" s="974">
        <v>0.3</v>
      </c>
    </row>
    <row r="252" spans="1:18" x14ac:dyDescent="0.35">
      <c r="A252" s="974" t="s">
        <v>1896</v>
      </c>
      <c r="B252" s="974" t="s">
        <v>1929</v>
      </c>
      <c r="C252" s="974">
        <v>180</v>
      </c>
      <c r="D252" s="974">
        <v>-16</v>
      </c>
      <c r="E252" s="974">
        <v>-18</v>
      </c>
      <c r="F252" s="974">
        <v>31</v>
      </c>
      <c r="G252" s="974">
        <v>24</v>
      </c>
      <c r="H252" s="974">
        <v>3470</v>
      </c>
      <c r="I252" s="974">
        <v>28</v>
      </c>
      <c r="J252" s="974">
        <v>103</v>
      </c>
      <c r="K252" s="974">
        <v>800</v>
      </c>
      <c r="L252" s="974">
        <v>0.9</v>
      </c>
      <c r="M252" s="974">
        <v>850</v>
      </c>
      <c r="N252" s="974">
        <v>180</v>
      </c>
      <c r="O252" s="974">
        <v>1</v>
      </c>
      <c r="P252" s="974">
        <v>0.4</v>
      </c>
      <c r="Q252" s="974">
        <v>0.34</v>
      </c>
      <c r="R252" s="974">
        <v>0.43</v>
      </c>
    </row>
    <row r="253" spans="1:18" x14ac:dyDescent="0.35">
      <c r="A253" s="974" t="s">
        <v>1896</v>
      </c>
      <c r="B253" s="974" t="s">
        <v>1930</v>
      </c>
      <c r="C253" s="974">
        <v>275</v>
      </c>
      <c r="D253" s="974">
        <v>-19</v>
      </c>
      <c r="E253" s="974">
        <v>-21</v>
      </c>
      <c r="F253" s="974">
        <v>29</v>
      </c>
      <c r="G253" s="974">
        <v>22</v>
      </c>
      <c r="H253" s="974">
        <v>4320</v>
      </c>
      <c r="I253" s="974">
        <v>28</v>
      </c>
      <c r="J253" s="974">
        <v>103</v>
      </c>
      <c r="K253" s="974">
        <v>810</v>
      </c>
      <c r="L253" s="974">
        <v>0.9</v>
      </c>
      <c r="M253" s="974">
        <v>1125</v>
      </c>
      <c r="N253" s="974">
        <v>140</v>
      </c>
      <c r="O253" s="974">
        <v>2.8</v>
      </c>
      <c r="P253" s="974">
        <v>0.4</v>
      </c>
      <c r="Q253" s="974">
        <v>0.35</v>
      </c>
      <c r="R253" s="974">
        <v>0.45</v>
      </c>
    </row>
    <row r="254" spans="1:18" x14ac:dyDescent="0.35">
      <c r="A254" s="974" t="s">
        <v>1896</v>
      </c>
      <c r="B254" s="974" t="s">
        <v>1931</v>
      </c>
      <c r="C254" s="974">
        <v>280</v>
      </c>
      <c r="D254" s="974">
        <v>-17</v>
      </c>
      <c r="E254" s="974">
        <v>-19</v>
      </c>
      <c r="F254" s="974">
        <v>29</v>
      </c>
      <c r="G254" s="974">
        <v>23</v>
      </c>
      <c r="H254" s="974">
        <v>4150</v>
      </c>
      <c r="I254" s="974">
        <v>25</v>
      </c>
      <c r="J254" s="974">
        <v>103</v>
      </c>
      <c r="K254" s="974">
        <v>810</v>
      </c>
      <c r="L254" s="974">
        <v>0.9</v>
      </c>
      <c r="M254" s="974">
        <v>1000</v>
      </c>
      <c r="N254" s="974">
        <v>160</v>
      </c>
      <c r="O254" s="974">
        <v>2.6</v>
      </c>
      <c r="P254" s="974">
        <v>0.4</v>
      </c>
      <c r="Q254" s="974">
        <v>0.36</v>
      </c>
      <c r="R254" s="974">
        <v>0.46</v>
      </c>
    </row>
    <row r="255" spans="1:18" x14ac:dyDescent="0.35">
      <c r="A255" s="974" t="s">
        <v>1896</v>
      </c>
      <c r="B255" s="974" t="s">
        <v>1932</v>
      </c>
      <c r="C255" s="974">
        <v>270</v>
      </c>
      <c r="D255" s="974">
        <v>-25</v>
      </c>
      <c r="E255" s="974">
        <v>-27</v>
      </c>
      <c r="F255" s="974">
        <v>30</v>
      </c>
      <c r="G255" s="974">
        <v>23</v>
      </c>
      <c r="H255" s="974">
        <v>4500</v>
      </c>
      <c r="I255" s="974">
        <v>25</v>
      </c>
      <c r="J255" s="974">
        <v>108</v>
      </c>
      <c r="K255" s="974">
        <v>740</v>
      </c>
      <c r="L255" s="974">
        <v>0.9</v>
      </c>
      <c r="M255" s="974">
        <v>950</v>
      </c>
      <c r="N255" s="974">
        <v>120</v>
      </c>
      <c r="O255" s="974">
        <v>2.5</v>
      </c>
      <c r="P255" s="974">
        <v>0.4</v>
      </c>
      <c r="Q255" s="974">
        <v>0.27</v>
      </c>
      <c r="R255" s="974">
        <v>0.35</v>
      </c>
    </row>
    <row r="256" spans="1:18" x14ac:dyDescent="0.35">
      <c r="A256" s="974" t="s">
        <v>1896</v>
      </c>
      <c r="B256" s="974" t="s">
        <v>1933</v>
      </c>
      <c r="C256" s="974">
        <v>90</v>
      </c>
      <c r="D256" s="974">
        <v>-21</v>
      </c>
      <c r="E256" s="974">
        <v>-23</v>
      </c>
      <c r="F256" s="974">
        <v>29</v>
      </c>
      <c r="G256" s="974">
        <v>23</v>
      </c>
      <c r="H256" s="974">
        <v>3980</v>
      </c>
      <c r="I256" s="974">
        <v>23</v>
      </c>
      <c r="J256" s="974">
        <v>94</v>
      </c>
      <c r="K256" s="974">
        <v>760</v>
      </c>
      <c r="L256" s="974">
        <v>0.9</v>
      </c>
      <c r="M256" s="974">
        <v>825</v>
      </c>
      <c r="N256" s="974">
        <v>160</v>
      </c>
      <c r="O256" s="974">
        <v>1.2</v>
      </c>
      <c r="P256" s="974">
        <v>0.4</v>
      </c>
      <c r="Q256" s="974">
        <v>0.38</v>
      </c>
      <c r="R256" s="974">
        <v>0.49</v>
      </c>
    </row>
    <row r="257" spans="1:18" x14ac:dyDescent="0.35">
      <c r="A257" s="974" t="s">
        <v>1896</v>
      </c>
      <c r="B257" s="974" t="s">
        <v>1934</v>
      </c>
      <c r="C257" s="974">
        <v>245</v>
      </c>
      <c r="D257" s="974">
        <v>-34</v>
      </c>
      <c r="E257" s="974">
        <v>-36</v>
      </c>
      <c r="F257" s="974">
        <v>29</v>
      </c>
      <c r="G257" s="974">
        <v>21</v>
      </c>
      <c r="H257" s="974">
        <v>6200</v>
      </c>
      <c r="I257" s="974">
        <v>20</v>
      </c>
      <c r="J257" s="974">
        <v>92</v>
      </c>
      <c r="K257" s="974">
        <v>575</v>
      </c>
      <c r="L257" s="974">
        <v>0.8</v>
      </c>
      <c r="M257" s="974">
        <v>875</v>
      </c>
      <c r="N257" s="974">
        <v>80</v>
      </c>
      <c r="O257" s="974">
        <v>2.8</v>
      </c>
      <c r="P257" s="974">
        <v>0.3</v>
      </c>
      <c r="Q257" s="974">
        <v>0.27</v>
      </c>
      <c r="R257" s="974">
        <v>0.35</v>
      </c>
    </row>
    <row r="258" spans="1:18" x14ac:dyDescent="0.35">
      <c r="A258" s="974" t="s">
        <v>1896</v>
      </c>
      <c r="B258" s="974" t="s">
        <v>1935</v>
      </c>
      <c r="C258" s="974">
        <v>105</v>
      </c>
      <c r="D258" s="974">
        <v>-21</v>
      </c>
      <c r="E258" s="974">
        <v>-23</v>
      </c>
      <c r="F258" s="974">
        <v>29</v>
      </c>
      <c r="G258" s="974">
        <v>23</v>
      </c>
      <c r="H258" s="974">
        <v>3980</v>
      </c>
      <c r="I258" s="974">
        <v>23</v>
      </c>
      <c r="J258" s="974">
        <v>94</v>
      </c>
      <c r="K258" s="974">
        <v>760</v>
      </c>
      <c r="L258" s="974">
        <v>0.9</v>
      </c>
      <c r="M258" s="974">
        <v>850</v>
      </c>
      <c r="N258" s="974">
        <v>160</v>
      </c>
      <c r="O258" s="974">
        <v>1.6</v>
      </c>
      <c r="P258" s="974">
        <v>0.4</v>
      </c>
      <c r="Q258" s="974">
        <v>0.38</v>
      </c>
      <c r="R258" s="974">
        <v>0.49</v>
      </c>
    </row>
    <row r="259" spans="1:18" x14ac:dyDescent="0.35">
      <c r="A259" s="974" t="s">
        <v>1896</v>
      </c>
      <c r="B259" s="974" t="s">
        <v>1936</v>
      </c>
      <c r="C259" s="974">
        <v>190</v>
      </c>
      <c r="D259" s="974">
        <v>-21</v>
      </c>
      <c r="E259" s="974">
        <v>-23</v>
      </c>
      <c r="F259" s="974">
        <v>29</v>
      </c>
      <c r="G259" s="974">
        <v>23</v>
      </c>
      <c r="H259" s="974">
        <v>4180</v>
      </c>
      <c r="I259" s="974">
        <v>28</v>
      </c>
      <c r="J259" s="974">
        <v>97</v>
      </c>
      <c r="K259" s="974">
        <v>720</v>
      </c>
      <c r="L259" s="974">
        <v>0.9</v>
      </c>
      <c r="M259" s="974">
        <v>950</v>
      </c>
      <c r="N259" s="974">
        <v>160</v>
      </c>
      <c r="O259" s="974">
        <v>2.7</v>
      </c>
      <c r="P259" s="974">
        <v>0.4</v>
      </c>
      <c r="Q259" s="974">
        <v>0.3</v>
      </c>
      <c r="R259" s="974">
        <v>0.39</v>
      </c>
    </row>
    <row r="260" spans="1:18" x14ac:dyDescent="0.35">
      <c r="A260" s="974" t="s">
        <v>1896</v>
      </c>
      <c r="B260" s="974" t="s">
        <v>1937</v>
      </c>
      <c r="C260" s="974">
        <v>35</v>
      </c>
      <c r="D260" s="974">
        <v>-23</v>
      </c>
      <c r="E260" s="974">
        <v>-25</v>
      </c>
      <c r="F260" s="974">
        <v>30</v>
      </c>
      <c r="G260" s="974">
        <v>23</v>
      </c>
      <c r="H260" s="974">
        <v>4250</v>
      </c>
      <c r="I260" s="974">
        <v>25</v>
      </c>
      <c r="J260" s="974">
        <v>103</v>
      </c>
      <c r="K260" s="974">
        <v>780</v>
      </c>
      <c r="L260" s="974">
        <v>0.9</v>
      </c>
      <c r="M260" s="974">
        <v>960</v>
      </c>
      <c r="N260" s="974">
        <v>180</v>
      </c>
      <c r="O260" s="974">
        <v>2.2000000000000002</v>
      </c>
      <c r="P260" s="974">
        <v>0.4</v>
      </c>
      <c r="Q260" s="974">
        <v>0.32</v>
      </c>
      <c r="R260" s="974">
        <v>0.41</v>
      </c>
    </row>
    <row r="261" spans="1:18" x14ac:dyDescent="0.35">
      <c r="A261" s="974" t="s">
        <v>1896</v>
      </c>
      <c r="B261" s="974" t="s">
        <v>1938</v>
      </c>
      <c r="C261" s="974">
        <v>185</v>
      </c>
      <c r="D261" s="974">
        <v>-16</v>
      </c>
      <c r="E261" s="974">
        <v>-18</v>
      </c>
      <c r="F261" s="974">
        <v>31</v>
      </c>
      <c r="G261" s="974">
        <v>24</v>
      </c>
      <c r="H261" s="974">
        <v>3600</v>
      </c>
      <c r="I261" s="974">
        <v>25</v>
      </c>
      <c r="J261" s="974">
        <v>100</v>
      </c>
      <c r="K261" s="974">
        <v>760</v>
      </c>
      <c r="L261" s="974">
        <v>0.9</v>
      </c>
      <c r="M261" s="974">
        <v>800</v>
      </c>
      <c r="N261" s="974">
        <v>180</v>
      </c>
      <c r="O261" s="974">
        <v>1</v>
      </c>
      <c r="P261" s="974">
        <v>0.4</v>
      </c>
      <c r="Q261" s="974">
        <v>0.37</v>
      </c>
      <c r="R261" s="974">
        <v>0.47</v>
      </c>
    </row>
    <row r="262" spans="1:18" x14ac:dyDescent="0.35">
      <c r="A262" s="974" t="s">
        <v>1896</v>
      </c>
      <c r="B262" s="974" t="s">
        <v>1939</v>
      </c>
      <c r="C262" s="974">
        <v>145</v>
      </c>
      <c r="D262" s="974">
        <v>-29</v>
      </c>
      <c r="E262" s="974">
        <v>-32</v>
      </c>
      <c r="F262" s="974">
        <v>30</v>
      </c>
      <c r="G262" s="974">
        <v>22</v>
      </c>
      <c r="H262" s="974">
        <v>4900</v>
      </c>
      <c r="I262" s="974">
        <v>23</v>
      </c>
      <c r="J262" s="974">
        <v>92</v>
      </c>
      <c r="K262" s="974">
        <v>650</v>
      </c>
      <c r="L262" s="974">
        <v>0.8</v>
      </c>
      <c r="M262" s="974">
        <v>850</v>
      </c>
      <c r="N262" s="974">
        <v>100</v>
      </c>
      <c r="O262" s="974">
        <v>2.5</v>
      </c>
      <c r="P262" s="974">
        <v>0.4</v>
      </c>
      <c r="Q262" s="974">
        <v>0.27</v>
      </c>
      <c r="R262" s="974">
        <v>0.35</v>
      </c>
    </row>
    <row r="263" spans="1:18" x14ac:dyDescent="0.35">
      <c r="A263" s="974" t="s">
        <v>1896</v>
      </c>
      <c r="B263" s="974" t="s">
        <v>1940</v>
      </c>
      <c r="C263" s="974">
        <v>85</v>
      </c>
      <c r="D263" s="974">
        <v>-22</v>
      </c>
      <c r="E263" s="974">
        <v>-24</v>
      </c>
      <c r="F263" s="974">
        <v>29</v>
      </c>
      <c r="G263" s="974">
        <v>23</v>
      </c>
      <c r="H263" s="974">
        <v>4070</v>
      </c>
      <c r="I263" s="974">
        <v>23</v>
      </c>
      <c r="J263" s="974">
        <v>92</v>
      </c>
      <c r="K263" s="974">
        <v>760</v>
      </c>
      <c r="L263" s="974">
        <v>0.9</v>
      </c>
      <c r="M263" s="974">
        <v>900</v>
      </c>
      <c r="N263" s="974">
        <v>160</v>
      </c>
      <c r="O263" s="974">
        <v>1.9</v>
      </c>
      <c r="P263" s="974">
        <v>0.4</v>
      </c>
      <c r="Q263" s="974">
        <v>0.34</v>
      </c>
      <c r="R263" s="974">
        <v>0.43</v>
      </c>
    </row>
    <row r="264" spans="1:18" x14ac:dyDescent="0.35">
      <c r="A264" s="974" t="s">
        <v>1896</v>
      </c>
      <c r="B264" s="974" t="s">
        <v>1941</v>
      </c>
      <c r="C264" s="974">
        <v>260</v>
      </c>
      <c r="D264" s="974">
        <v>-18</v>
      </c>
      <c r="E264" s="974">
        <v>-20</v>
      </c>
      <c r="F264" s="974">
        <v>30</v>
      </c>
      <c r="G264" s="974">
        <v>24</v>
      </c>
      <c r="H264" s="974">
        <v>3900</v>
      </c>
      <c r="I264" s="974">
        <v>28</v>
      </c>
      <c r="J264" s="974">
        <v>103</v>
      </c>
      <c r="K264" s="974">
        <v>850</v>
      </c>
      <c r="L264" s="974">
        <v>1</v>
      </c>
      <c r="M264" s="974">
        <v>950</v>
      </c>
      <c r="N264" s="974">
        <v>180</v>
      </c>
      <c r="O264" s="974">
        <v>1.9</v>
      </c>
      <c r="P264" s="974">
        <v>0.4</v>
      </c>
      <c r="Q264" s="974">
        <v>0.37</v>
      </c>
      <c r="R264" s="974">
        <v>0.47</v>
      </c>
    </row>
    <row r="265" spans="1:18" x14ac:dyDescent="0.35">
      <c r="A265" s="974" t="s">
        <v>1896</v>
      </c>
      <c r="B265" s="974" t="s">
        <v>1942</v>
      </c>
      <c r="C265" s="974">
        <v>200</v>
      </c>
      <c r="D265" s="974">
        <v>-33</v>
      </c>
      <c r="E265" s="974">
        <v>-35</v>
      </c>
      <c r="F265" s="974">
        <v>28</v>
      </c>
      <c r="G265" s="974">
        <v>21</v>
      </c>
      <c r="H265" s="974">
        <v>5950</v>
      </c>
      <c r="I265" s="974">
        <v>20</v>
      </c>
      <c r="J265" s="974">
        <v>103</v>
      </c>
      <c r="K265" s="974">
        <v>550</v>
      </c>
      <c r="L265" s="974">
        <v>0.8</v>
      </c>
      <c r="M265" s="974">
        <v>725</v>
      </c>
      <c r="N265" s="974">
        <v>160</v>
      </c>
      <c r="O265" s="974">
        <v>2.8</v>
      </c>
      <c r="P265" s="974">
        <v>0.4</v>
      </c>
      <c r="Q265" s="974">
        <v>0.28999999999999998</v>
      </c>
      <c r="R265" s="974">
        <v>0.39</v>
      </c>
    </row>
    <row r="266" spans="1:18" x14ac:dyDescent="0.35">
      <c r="A266" s="974" t="s">
        <v>1896</v>
      </c>
      <c r="B266" s="974" t="s">
        <v>1943</v>
      </c>
      <c r="C266" s="974">
        <v>185</v>
      </c>
      <c r="D266" s="974">
        <v>-16</v>
      </c>
      <c r="E266" s="974">
        <v>-18</v>
      </c>
      <c r="F266" s="974">
        <v>31</v>
      </c>
      <c r="G266" s="974">
        <v>24</v>
      </c>
      <c r="H266" s="974">
        <v>3750</v>
      </c>
      <c r="I266" s="974">
        <v>28</v>
      </c>
      <c r="J266" s="974">
        <v>97</v>
      </c>
      <c r="K266" s="974">
        <v>760</v>
      </c>
      <c r="L266" s="974">
        <v>0.8</v>
      </c>
      <c r="M266" s="974">
        <v>820</v>
      </c>
      <c r="N266" s="974">
        <v>180</v>
      </c>
      <c r="O266" s="974">
        <v>1</v>
      </c>
      <c r="P266" s="974">
        <v>0.4</v>
      </c>
      <c r="Q266" s="974">
        <v>0.34</v>
      </c>
      <c r="R266" s="974">
        <v>0.43</v>
      </c>
    </row>
    <row r="267" spans="1:18" x14ac:dyDescent="0.35">
      <c r="A267" s="974" t="s">
        <v>1896</v>
      </c>
      <c r="B267" s="974" t="s">
        <v>1944</v>
      </c>
      <c r="C267" s="974">
        <v>370</v>
      </c>
      <c r="D267" s="974">
        <v>-34</v>
      </c>
      <c r="E267" s="974">
        <v>-36</v>
      </c>
      <c r="F267" s="974">
        <v>28</v>
      </c>
      <c r="G267" s="974">
        <v>22</v>
      </c>
      <c r="H267" s="974">
        <v>5850</v>
      </c>
      <c r="I267" s="974">
        <v>25</v>
      </c>
      <c r="J267" s="974">
        <v>97</v>
      </c>
      <c r="K267" s="974">
        <v>550</v>
      </c>
      <c r="L267" s="974">
        <v>0.7</v>
      </c>
      <c r="M267" s="974">
        <v>700</v>
      </c>
      <c r="N267" s="974">
        <v>120</v>
      </c>
      <c r="O267" s="974">
        <v>2.4</v>
      </c>
      <c r="P267" s="974">
        <v>0.3</v>
      </c>
      <c r="Q267" s="974">
        <v>0.22</v>
      </c>
      <c r="R267" s="974">
        <v>0.3</v>
      </c>
    </row>
    <row r="268" spans="1:18" x14ac:dyDescent="0.35">
      <c r="A268" s="974" t="s">
        <v>1896</v>
      </c>
      <c r="B268" s="974" t="s">
        <v>1945</v>
      </c>
      <c r="C268" s="974">
        <v>525</v>
      </c>
      <c r="D268" s="974">
        <v>-22</v>
      </c>
      <c r="E268" s="974">
        <v>-24</v>
      </c>
      <c r="F268" s="974">
        <v>29</v>
      </c>
      <c r="G268" s="974">
        <v>22</v>
      </c>
      <c r="H268" s="974">
        <v>4700</v>
      </c>
      <c r="I268" s="974">
        <v>28</v>
      </c>
      <c r="J268" s="974">
        <v>108</v>
      </c>
      <c r="K268" s="974">
        <v>750</v>
      </c>
      <c r="L268" s="974">
        <v>0.9</v>
      </c>
      <c r="M268" s="974">
        <v>1080</v>
      </c>
      <c r="N268" s="974">
        <v>150</v>
      </c>
      <c r="O268" s="974">
        <v>3.2</v>
      </c>
      <c r="P268" s="974">
        <v>0.4</v>
      </c>
      <c r="Q268" s="974">
        <v>0.33</v>
      </c>
      <c r="R268" s="974">
        <v>0.42</v>
      </c>
    </row>
    <row r="269" spans="1:18" x14ac:dyDescent="0.35">
      <c r="A269" s="974" t="s">
        <v>1896</v>
      </c>
      <c r="B269" s="974" t="s">
        <v>1946</v>
      </c>
      <c r="C269" s="974">
        <v>175</v>
      </c>
      <c r="D269" s="974">
        <v>-15</v>
      </c>
      <c r="E269" s="974">
        <v>-17</v>
      </c>
      <c r="F269" s="974">
        <v>30</v>
      </c>
      <c r="G269" s="974">
        <v>24</v>
      </c>
      <c r="H269" s="974">
        <v>3660</v>
      </c>
      <c r="I269" s="974">
        <v>23</v>
      </c>
      <c r="J269" s="974">
        <v>108</v>
      </c>
      <c r="K269" s="974">
        <v>830</v>
      </c>
      <c r="L269" s="974">
        <v>1</v>
      </c>
      <c r="M269" s="974">
        <v>950</v>
      </c>
      <c r="N269" s="974">
        <v>160</v>
      </c>
      <c r="O269" s="974">
        <v>2</v>
      </c>
      <c r="P269" s="974">
        <v>0.4</v>
      </c>
      <c r="Q269" s="974">
        <v>0.36</v>
      </c>
      <c r="R269" s="974">
        <v>0.46</v>
      </c>
    </row>
    <row r="270" spans="1:18" x14ac:dyDescent="0.35">
      <c r="A270" s="974" t="s">
        <v>1896</v>
      </c>
      <c r="B270" s="974" t="s">
        <v>1947</v>
      </c>
      <c r="C270" s="974">
        <v>340</v>
      </c>
      <c r="D270" s="974">
        <v>-20</v>
      </c>
      <c r="E270" s="974">
        <v>-22</v>
      </c>
      <c r="F270" s="974">
        <v>29</v>
      </c>
      <c r="G270" s="974">
        <v>22</v>
      </c>
      <c r="H270" s="974">
        <v>4340</v>
      </c>
      <c r="I270" s="974">
        <v>28</v>
      </c>
      <c r="J270" s="974">
        <v>103</v>
      </c>
      <c r="K270" s="974">
        <v>815</v>
      </c>
      <c r="L270" s="974">
        <v>0.9</v>
      </c>
      <c r="M270" s="974">
        <v>1025</v>
      </c>
      <c r="N270" s="974">
        <v>140</v>
      </c>
      <c r="O270" s="974">
        <v>2.8</v>
      </c>
      <c r="P270" s="974">
        <v>0.4</v>
      </c>
      <c r="Q270" s="974">
        <v>0.34</v>
      </c>
      <c r="R270" s="974">
        <v>0.44</v>
      </c>
    </row>
    <row r="271" spans="1:18" x14ac:dyDescent="0.35">
      <c r="A271" s="974" t="s">
        <v>1896</v>
      </c>
      <c r="B271" s="974" t="s">
        <v>1948</v>
      </c>
      <c r="C271" s="974">
        <v>225</v>
      </c>
      <c r="D271" s="974">
        <v>-16</v>
      </c>
      <c r="E271" s="974">
        <v>-18</v>
      </c>
      <c r="F271" s="974">
        <v>31</v>
      </c>
      <c r="G271" s="974">
        <v>24</v>
      </c>
      <c r="H271" s="974">
        <v>3700</v>
      </c>
      <c r="I271" s="974">
        <v>28</v>
      </c>
      <c r="J271" s="974">
        <v>92</v>
      </c>
      <c r="K271" s="974">
        <v>850</v>
      </c>
      <c r="L271" s="974">
        <v>1</v>
      </c>
      <c r="M271" s="974">
        <v>925</v>
      </c>
      <c r="N271" s="974">
        <v>180</v>
      </c>
      <c r="O271" s="974">
        <v>1.3</v>
      </c>
      <c r="P271" s="974">
        <v>0.4</v>
      </c>
      <c r="Q271" s="974">
        <v>0.37</v>
      </c>
      <c r="R271" s="974">
        <v>0.47</v>
      </c>
    </row>
    <row r="272" spans="1:18" x14ac:dyDescent="0.35">
      <c r="A272" s="974" t="s">
        <v>1896</v>
      </c>
      <c r="B272" s="974" t="s">
        <v>1949</v>
      </c>
      <c r="C272" s="974">
        <v>245</v>
      </c>
      <c r="D272" s="974">
        <v>-33</v>
      </c>
      <c r="E272" s="974">
        <v>-36</v>
      </c>
      <c r="F272" s="974">
        <v>29</v>
      </c>
      <c r="G272" s="974">
        <v>22</v>
      </c>
      <c r="H272" s="974">
        <v>5730</v>
      </c>
      <c r="I272" s="974">
        <v>23</v>
      </c>
      <c r="J272" s="974">
        <v>92</v>
      </c>
      <c r="K272" s="974">
        <v>560</v>
      </c>
      <c r="L272" s="974">
        <v>0.8</v>
      </c>
      <c r="M272" s="974">
        <v>820</v>
      </c>
      <c r="N272" s="974">
        <v>120</v>
      </c>
      <c r="O272" s="974">
        <v>3.1</v>
      </c>
      <c r="P272" s="974">
        <v>0.4</v>
      </c>
      <c r="Q272" s="974">
        <v>0.35</v>
      </c>
      <c r="R272" s="974">
        <v>0.45</v>
      </c>
    </row>
    <row r="273" spans="1:18" x14ac:dyDescent="0.35">
      <c r="A273" s="974" t="s">
        <v>1896</v>
      </c>
      <c r="B273" s="974" t="s">
        <v>1950</v>
      </c>
      <c r="C273" s="974">
        <v>365</v>
      </c>
      <c r="D273" s="974">
        <v>-34</v>
      </c>
      <c r="E273" s="974">
        <v>-36</v>
      </c>
      <c r="F273" s="974">
        <v>28</v>
      </c>
      <c r="G273" s="974">
        <v>22</v>
      </c>
      <c r="H273" s="974">
        <v>5740</v>
      </c>
      <c r="I273" s="974">
        <v>25</v>
      </c>
      <c r="J273" s="974">
        <v>108</v>
      </c>
      <c r="K273" s="974">
        <v>510</v>
      </c>
      <c r="L273" s="974">
        <v>0.7</v>
      </c>
      <c r="M273" s="974">
        <v>680</v>
      </c>
      <c r="N273" s="974">
        <v>120</v>
      </c>
      <c r="O273" s="974">
        <v>2.4</v>
      </c>
      <c r="P273" s="974">
        <v>0.3</v>
      </c>
      <c r="Q273" s="974">
        <v>0.23</v>
      </c>
      <c r="R273" s="974">
        <v>0.31</v>
      </c>
    </row>
    <row r="274" spans="1:18" x14ac:dyDescent="0.35">
      <c r="A274" s="974" t="s">
        <v>1896</v>
      </c>
      <c r="B274" s="974" t="s">
        <v>1951</v>
      </c>
      <c r="C274" s="974">
        <v>380</v>
      </c>
      <c r="D274" s="974">
        <v>-26</v>
      </c>
      <c r="E274" s="974">
        <v>-28</v>
      </c>
      <c r="F274" s="974">
        <v>29</v>
      </c>
      <c r="G274" s="974">
        <v>21</v>
      </c>
      <c r="H274" s="974">
        <v>4950</v>
      </c>
      <c r="I274" s="974">
        <v>23</v>
      </c>
      <c r="J274" s="974">
        <v>108</v>
      </c>
      <c r="K274" s="974">
        <v>630</v>
      </c>
      <c r="L274" s="974">
        <v>0.8</v>
      </c>
      <c r="M274" s="974">
        <v>950</v>
      </c>
      <c r="N274" s="974">
        <v>160</v>
      </c>
      <c r="O274" s="974">
        <v>2.9</v>
      </c>
      <c r="P274" s="974">
        <v>0.4</v>
      </c>
      <c r="Q274" s="974">
        <v>0.3</v>
      </c>
      <c r="R274" s="974">
        <v>0.38</v>
      </c>
    </row>
    <row r="275" spans="1:18" x14ac:dyDescent="0.35">
      <c r="A275" s="974" t="s">
        <v>1896</v>
      </c>
      <c r="B275" s="974" t="s">
        <v>1952</v>
      </c>
      <c r="C275" s="974">
        <v>220</v>
      </c>
      <c r="D275" s="974">
        <v>-24</v>
      </c>
      <c r="E275" s="974">
        <v>-26</v>
      </c>
      <c r="F275" s="974">
        <v>29</v>
      </c>
      <c r="G275" s="974">
        <v>23</v>
      </c>
      <c r="H275" s="974">
        <v>4200</v>
      </c>
      <c r="I275" s="974">
        <v>28</v>
      </c>
      <c r="J275" s="974">
        <v>97</v>
      </c>
      <c r="K275" s="974">
        <v>720</v>
      </c>
      <c r="L275" s="974">
        <v>0.9</v>
      </c>
      <c r="M275" s="974">
        <v>950</v>
      </c>
      <c r="N275" s="974">
        <v>140</v>
      </c>
      <c r="O275" s="974">
        <v>2.6</v>
      </c>
      <c r="P275" s="974">
        <v>0.4</v>
      </c>
      <c r="Q275" s="974">
        <v>0.28000000000000003</v>
      </c>
      <c r="R275" s="974">
        <v>0.36</v>
      </c>
    </row>
    <row r="276" spans="1:18" x14ac:dyDescent="0.35">
      <c r="A276" s="974" t="s">
        <v>1896</v>
      </c>
      <c r="B276" s="974" t="s">
        <v>1953</v>
      </c>
      <c r="C276" s="974">
        <v>310</v>
      </c>
      <c r="D276" s="974">
        <v>-19</v>
      </c>
      <c r="E276" s="974">
        <v>-21</v>
      </c>
      <c r="F276" s="974">
        <v>30</v>
      </c>
      <c r="G276" s="974">
        <v>23</v>
      </c>
      <c r="H276" s="974">
        <v>3950</v>
      </c>
      <c r="I276" s="974">
        <v>28</v>
      </c>
      <c r="J276" s="974">
        <v>113</v>
      </c>
      <c r="K276" s="974">
        <v>830</v>
      </c>
      <c r="L276" s="974">
        <v>0.9</v>
      </c>
      <c r="M276" s="974">
        <v>950</v>
      </c>
      <c r="N276" s="974">
        <v>160</v>
      </c>
      <c r="O276" s="974">
        <v>2</v>
      </c>
      <c r="P276" s="974">
        <v>0.4</v>
      </c>
      <c r="Q276" s="974">
        <v>0.37</v>
      </c>
      <c r="R276" s="974">
        <v>0.48</v>
      </c>
    </row>
    <row r="277" spans="1:18" x14ac:dyDescent="0.35">
      <c r="A277" s="974" t="s">
        <v>1896</v>
      </c>
      <c r="B277" s="974" t="s">
        <v>1954</v>
      </c>
      <c r="C277" s="974">
        <v>205</v>
      </c>
      <c r="D277" s="974">
        <v>-33</v>
      </c>
      <c r="E277" s="974">
        <v>-36</v>
      </c>
      <c r="F277" s="974">
        <v>29</v>
      </c>
      <c r="G277" s="974">
        <v>22</v>
      </c>
      <c r="H277" s="974">
        <v>5800</v>
      </c>
      <c r="I277" s="974">
        <v>23</v>
      </c>
      <c r="J277" s="974">
        <v>92</v>
      </c>
      <c r="K277" s="974">
        <v>600</v>
      </c>
      <c r="L277" s="974">
        <v>0.8</v>
      </c>
      <c r="M277" s="974">
        <v>880</v>
      </c>
      <c r="N277" s="974">
        <v>100</v>
      </c>
      <c r="O277" s="974">
        <v>2.8</v>
      </c>
      <c r="P277" s="974">
        <v>0.4</v>
      </c>
      <c r="Q277" s="974">
        <v>0.32</v>
      </c>
      <c r="R277" s="974">
        <v>0.41</v>
      </c>
    </row>
    <row r="278" spans="1:18" x14ac:dyDescent="0.35">
      <c r="A278" s="974" t="s">
        <v>1896</v>
      </c>
      <c r="B278" s="974" t="s">
        <v>1955</v>
      </c>
      <c r="C278" s="974">
        <v>220</v>
      </c>
      <c r="D278" s="974">
        <v>-25</v>
      </c>
      <c r="E278" s="974">
        <v>-27</v>
      </c>
      <c r="F278" s="974">
        <v>29</v>
      </c>
      <c r="G278" s="974">
        <v>21</v>
      </c>
      <c r="H278" s="974">
        <v>4920</v>
      </c>
      <c r="I278" s="974">
        <v>23</v>
      </c>
      <c r="J278" s="974">
        <v>108</v>
      </c>
      <c r="K278" s="974">
        <v>650</v>
      </c>
      <c r="L278" s="974">
        <v>0.8</v>
      </c>
      <c r="M278" s="974">
        <v>840</v>
      </c>
      <c r="N278" s="974">
        <v>160</v>
      </c>
      <c r="O278" s="974">
        <v>2.2999999999999998</v>
      </c>
      <c r="P278" s="974">
        <v>0.4</v>
      </c>
      <c r="Q278" s="974">
        <v>0.33</v>
      </c>
      <c r="R278" s="974">
        <v>0.42</v>
      </c>
    </row>
    <row r="279" spans="1:18" x14ac:dyDescent="0.35">
      <c r="A279" s="974" t="s">
        <v>1896</v>
      </c>
      <c r="B279" s="974" t="s">
        <v>1956</v>
      </c>
      <c r="C279" s="974">
        <v>265</v>
      </c>
      <c r="D279" s="974">
        <v>-17</v>
      </c>
      <c r="E279" s="974">
        <v>-19</v>
      </c>
      <c r="F279" s="974">
        <v>30</v>
      </c>
      <c r="G279" s="974">
        <v>23</v>
      </c>
      <c r="H279" s="974">
        <v>3900</v>
      </c>
      <c r="I279" s="974">
        <v>25</v>
      </c>
      <c r="J279" s="974">
        <v>113</v>
      </c>
      <c r="K279" s="974">
        <v>810</v>
      </c>
      <c r="L279" s="974">
        <v>0.9</v>
      </c>
      <c r="M279" s="974">
        <v>975</v>
      </c>
      <c r="N279" s="974">
        <v>180</v>
      </c>
      <c r="O279" s="974">
        <v>2.4</v>
      </c>
      <c r="P279" s="974">
        <v>0.4</v>
      </c>
      <c r="Q279" s="974">
        <v>0.37</v>
      </c>
      <c r="R279" s="974">
        <v>0.48</v>
      </c>
    </row>
    <row r="280" spans="1:18" x14ac:dyDescent="0.35">
      <c r="A280" s="974" t="s">
        <v>1896</v>
      </c>
      <c r="B280" s="974" t="s">
        <v>1957</v>
      </c>
      <c r="C280" s="974">
        <v>260</v>
      </c>
      <c r="D280" s="974">
        <v>-25</v>
      </c>
      <c r="E280" s="974">
        <v>-27</v>
      </c>
      <c r="F280" s="974">
        <v>30</v>
      </c>
      <c r="G280" s="974">
        <v>23</v>
      </c>
      <c r="H280" s="974">
        <v>4440</v>
      </c>
      <c r="I280" s="974">
        <v>25</v>
      </c>
      <c r="J280" s="974">
        <v>108</v>
      </c>
      <c r="K280" s="974">
        <v>730</v>
      </c>
      <c r="L280" s="974">
        <v>0.9</v>
      </c>
      <c r="M280" s="974">
        <v>950</v>
      </c>
      <c r="N280" s="974">
        <v>120</v>
      </c>
      <c r="O280" s="974">
        <v>2.2999999999999998</v>
      </c>
      <c r="P280" s="974">
        <v>0.4</v>
      </c>
      <c r="Q280" s="974">
        <v>0.28000000000000003</v>
      </c>
      <c r="R280" s="974">
        <v>0.36</v>
      </c>
    </row>
    <row r="281" spans="1:18" x14ac:dyDescent="0.35">
      <c r="A281" s="974" t="s">
        <v>1896</v>
      </c>
      <c r="B281" s="974" t="s">
        <v>1958</v>
      </c>
      <c r="C281" s="974">
        <v>400</v>
      </c>
      <c r="D281" s="974">
        <v>-20</v>
      </c>
      <c r="E281" s="974">
        <v>-22</v>
      </c>
      <c r="F281" s="974">
        <v>29</v>
      </c>
      <c r="G281" s="974">
        <v>23</v>
      </c>
      <c r="H281" s="974">
        <v>4300</v>
      </c>
      <c r="I281" s="974">
        <v>28</v>
      </c>
      <c r="J281" s="974">
        <v>108</v>
      </c>
      <c r="K281" s="974">
        <v>760</v>
      </c>
      <c r="L281" s="974">
        <v>0.9</v>
      </c>
      <c r="M281" s="974">
        <v>925</v>
      </c>
      <c r="N281" s="974">
        <v>160</v>
      </c>
      <c r="O281" s="974">
        <v>2.2000000000000002</v>
      </c>
      <c r="P281" s="974">
        <v>0.4</v>
      </c>
      <c r="Q281" s="974">
        <v>0.28000000000000003</v>
      </c>
      <c r="R281" s="974">
        <v>0.36</v>
      </c>
    </row>
    <row r="282" spans="1:18" x14ac:dyDescent="0.35">
      <c r="A282" s="974" t="s">
        <v>1896</v>
      </c>
      <c r="B282" s="974" t="s">
        <v>1959</v>
      </c>
      <c r="C282" s="974">
        <v>215</v>
      </c>
      <c r="D282" s="974">
        <v>-16</v>
      </c>
      <c r="E282" s="974">
        <v>-18</v>
      </c>
      <c r="F282" s="974">
        <v>31</v>
      </c>
      <c r="G282" s="974">
        <v>23</v>
      </c>
      <c r="H282" s="974">
        <v>3740</v>
      </c>
      <c r="I282" s="974">
        <v>25</v>
      </c>
      <c r="J282" s="974">
        <v>103</v>
      </c>
      <c r="K282" s="974">
        <v>810</v>
      </c>
      <c r="L282" s="974">
        <v>1</v>
      </c>
      <c r="M282" s="974">
        <v>875</v>
      </c>
      <c r="N282" s="974">
        <v>160</v>
      </c>
      <c r="O282" s="974">
        <v>2</v>
      </c>
      <c r="P282" s="974">
        <v>0.4</v>
      </c>
      <c r="Q282" s="974">
        <v>0.37</v>
      </c>
      <c r="R282" s="974">
        <v>0.48</v>
      </c>
    </row>
    <row r="283" spans="1:18" x14ac:dyDescent="0.35">
      <c r="A283" s="974" t="s">
        <v>1896</v>
      </c>
      <c r="B283" s="974" t="s">
        <v>1960</v>
      </c>
      <c r="C283" s="974">
        <v>180</v>
      </c>
      <c r="D283" s="974">
        <v>-15</v>
      </c>
      <c r="E283" s="974">
        <v>-17</v>
      </c>
      <c r="F283" s="974">
        <v>30</v>
      </c>
      <c r="G283" s="974">
        <v>24</v>
      </c>
      <c r="H283" s="974">
        <v>3650</v>
      </c>
      <c r="I283" s="974">
        <v>23</v>
      </c>
      <c r="J283" s="974">
        <v>108</v>
      </c>
      <c r="K283" s="974">
        <v>860</v>
      </c>
      <c r="L283" s="974">
        <v>1</v>
      </c>
      <c r="M283" s="974">
        <v>1020</v>
      </c>
      <c r="N283" s="974">
        <v>160</v>
      </c>
      <c r="O283" s="974">
        <v>2.2999999999999998</v>
      </c>
      <c r="P283" s="974">
        <v>0.4</v>
      </c>
      <c r="Q283" s="974">
        <v>0.36</v>
      </c>
      <c r="R283" s="974">
        <v>0.46</v>
      </c>
    </row>
    <row r="284" spans="1:18" x14ac:dyDescent="0.35">
      <c r="A284" s="974" t="s">
        <v>1896</v>
      </c>
      <c r="B284" s="974" t="s">
        <v>1961</v>
      </c>
      <c r="C284" s="974">
        <v>190</v>
      </c>
      <c r="D284" s="974">
        <v>-15</v>
      </c>
      <c r="E284" s="974">
        <v>-17</v>
      </c>
      <c r="F284" s="974">
        <v>30</v>
      </c>
      <c r="G284" s="974">
        <v>24</v>
      </c>
      <c r="H284" s="974">
        <v>3600</v>
      </c>
      <c r="I284" s="974">
        <v>25</v>
      </c>
      <c r="J284" s="974">
        <v>108</v>
      </c>
      <c r="K284" s="974">
        <v>860</v>
      </c>
      <c r="L284" s="974">
        <v>1</v>
      </c>
      <c r="M284" s="974">
        <v>1000</v>
      </c>
      <c r="N284" s="974">
        <v>160</v>
      </c>
      <c r="O284" s="974">
        <v>2.2999999999999998</v>
      </c>
      <c r="P284" s="974">
        <v>0.4</v>
      </c>
      <c r="Q284" s="974">
        <v>0.36</v>
      </c>
      <c r="R284" s="974">
        <v>0.46</v>
      </c>
    </row>
    <row r="285" spans="1:18" x14ac:dyDescent="0.35">
      <c r="A285" s="974" t="s">
        <v>1896</v>
      </c>
      <c r="B285" s="974" t="s">
        <v>1962</v>
      </c>
      <c r="C285" s="974">
        <v>340</v>
      </c>
      <c r="D285" s="974">
        <v>-33</v>
      </c>
      <c r="E285" s="974">
        <v>-35</v>
      </c>
      <c r="F285" s="974">
        <v>29</v>
      </c>
      <c r="G285" s="974">
        <v>22</v>
      </c>
      <c r="H285" s="974">
        <v>5440</v>
      </c>
      <c r="I285" s="974">
        <v>25</v>
      </c>
      <c r="J285" s="974">
        <v>108</v>
      </c>
      <c r="K285" s="974">
        <v>570</v>
      </c>
      <c r="L285" s="974">
        <v>0.7</v>
      </c>
      <c r="M285" s="974">
        <v>725</v>
      </c>
      <c r="N285" s="974">
        <v>120</v>
      </c>
      <c r="O285" s="974">
        <v>2.2999999999999998</v>
      </c>
      <c r="P285" s="974">
        <v>0.3</v>
      </c>
      <c r="Q285" s="974">
        <v>0.23</v>
      </c>
      <c r="R285" s="974">
        <v>0.31</v>
      </c>
    </row>
    <row r="286" spans="1:18" x14ac:dyDescent="0.35">
      <c r="A286" s="974" t="s">
        <v>1896</v>
      </c>
      <c r="B286" s="974" t="s">
        <v>1963</v>
      </c>
      <c r="C286" s="974">
        <v>80</v>
      </c>
      <c r="D286" s="974">
        <v>-22</v>
      </c>
      <c r="E286" s="974">
        <v>-24</v>
      </c>
      <c r="F286" s="974">
        <v>28</v>
      </c>
      <c r="G286" s="974">
        <v>23</v>
      </c>
      <c r="H286" s="974">
        <v>4010</v>
      </c>
      <c r="I286" s="974">
        <v>23</v>
      </c>
      <c r="J286" s="974">
        <v>103</v>
      </c>
      <c r="K286" s="974">
        <v>760</v>
      </c>
      <c r="L286" s="974">
        <v>0.9</v>
      </c>
      <c r="M286" s="974">
        <v>900</v>
      </c>
      <c r="N286" s="974">
        <v>180</v>
      </c>
      <c r="O286" s="974">
        <v>2.1</v>
      </c>
      <c r="P286" s="974">
        <v>0.4</v>
      </c>
      <c r="Q286" s="974">
        <v>0.37</v>
      </c>
      <c r="R286" s="974">
        <v>0.47</v>
      </c>
    </row>
    <row r="287" spans="1:18" x14ac:dyDescent="0.35">
      <c r="A287" s="974" t="s">
        <v>1896</v>
      </c>
      <c r="B287" s="974" t="s">
        <v>1964</v>
      </c>
      <c r="C287" s="974">
        <v>345</v>
      </c>
      <c r="D287" s="974">
        <v>-36</v>
      </c>
      <c r="E287" s="974">
        <v>-39</v>
      </c>
      <c r="F287" s="974">
        <v>28</v>
      </c>
      <c r="G287" s="974">
        <v>21</v>
      </c>
      <c r="H287" s="974">
        <v>6450</v>
      </c>
      <c r="I287" s="974">
        <v>20</v>
      </c>
      <c r="J287" s="974">
        <v>86</v>
      </c>
      <c r="K287" s="974">
        <v>550</v>
      </c>
      <c r="L287" s="974">
        <v>0.8</v>
      </c>
      <c r="M287" s="974">
        <v>725</v>
      </c>
      <c r="N287" s="974">
        <v>100</v>
      </c>
      <c r="O287" s="974">
        <v>2.9</v>
      </c>
      <c r="P287" s="974">
        <v>0.4</v>
      </c>
      <c r="Q287" s="974">
        <v>0.22</v>
      </c>
      <c r="R287" s="974">
        <v>0.3</v>
      </c>
    </row>
    <row r="288" spans="1:18" x14ac:dyDescent="0.35">
      <c r="A288" s="974" t="s">
        <v>1896</v>
      </c>
      <c r="B288" s="974" t="s">
        <v>1965</v>
      </c>
      <c r="C288" s="974">
        <v>215</v>
      </c>
      <c r="D288" s="974">
        <v>-16</v>
      </c>
      <c r="E288" s="974">
        <v>-18</v>
      </c>
      <c r="F288" s="974">
        <v>31</v>
      </c>
      <c r="G288" s="974">
        <v>24</v>
      </c>
      <c r="H288" s="974">
        <v>3680</v>
      </c>
      <c r="I288" s="974">
        <v>28</v>
      </c>
      <c r="J288" s="974">
        <v>103</v>
      </c>
      <c r="K288" s="974">
        <v>800</v>
      </c>
      <c r="L288" s="974">
        <v>0.9</v>
      </c>
      <c r="M288" s="974">
        <v>925</v>
      </c>
      <c r="N288" s="974">
        <v>180</v>
      </c>
      <c r="O288" s="974">
        <v>1.5</v>
      </c>
      <c r="P288" s="974">
        <v>0.4</v>
      </c>
      <c r="Q288" s="974">
        <v>0.34</v>
      </c>
      <c r="R288" s="974">
        <v>0.43</v>
      </c>
    </row>
    <row r="289" spans="1:18" x14ac:dyDescent="0.35">
      <c r="A289" s="974" t="s">
        <v>1896</v>
      </c>
      <c r="B289" s="974" t="s">
        <v>1966</v>
      </c>
      <c r="C289" s="974">
        <v>185</v>
      </c>
      <c r="D289" s="974">
        <v>-16</v>
      </c>
      <c r="E289" s="974">
        <v>-18</v>
      </c>
      <c r="F289" s="974">
        <v>29</v>
      </c>
      <c r="G289" s="974">
        <v>23</v>
      </c>
      <c r="H289" s="974">
        <v>4000</v>
      </c>
      <c r="I289" s="974">
        <v>25</v>
      </c>
      <c r="J289" s="974">
        <v>92</v>
      </c>
      <c r="K289" s="974">
        <v>810</v>
      </c>
      <c r="L289" s="974">
        <v>1</v>
      </c>
      <c r="M289" s="974">
        <v>950</v>
      </c>
      <c r="N289" s="974">
        <v>180</v>
      </c>
      <c r="O289" s="974">
        <v>2.4</v>
      </c>
      <c r="P289" s="974">
        <v>0.4</v>
      </c>
      <c r="Q289" s="974">
        <v>0.37</v>
      </c>
      <c r="R289" s="974">
        <v>0.48</v>
      </c>
    </row>
    <row r="290" spans="1:18" x14ac:dyDescent="0.35">
      <c r="A290" s="974" t="s">
        <v>1896</v>
      </c>
      <c r="B290" s="974" t="s">
        <v>1967</v>
      </c>
      <c r="C290" s="974">
        <v>205</v>
      </c>
      <c r="D290" s="974">
        <v>-24</v>
      </c>
      <c r="E290" s="974">
        <v>-26</v>
      </c>
      <c r="F290" s="974">
        <v>28</v>
      </c>
      <c r="G290" s="974">
        <v>22</v>
      </c>
      <c r="H290" s="974">
        <v>4700</v>
      </c>
      <c r="I290" s="974">
        <v>23</v>
      </c>
      <c r="J290" s="974">
        <v>92</v>
      </c>
      <c r="K290" s="974">
        <v>640</v>
      </c>
      <c r="L290" s="974">
        <v>0.8</v>
      </c>
      <c r="M290" s="974">
        <v>860</v>
      </c>
      <c r="N290" s="974">
        <v>160</v>
      </c>
      <c r="O290" s="974">
        <v>2.6</v>
      </c>
      <c r="P290" s="974">
        <v>0.4</v>
      </c>
      <c r="Q290" s="974">
        <v>0.34</v>
      </c>
      <c r="R290" s="974">
        <v>0.44</v>
      </c>
    </row>
    <row r="291" spans="1:18" x14ac:dyDescent="0.35">
      <c r="A291" s="974" t="s">
        <v>1896</v>
      </c>
      <c r="B291" s="974" t="s">
        <v>1968</v>
      </c>
      <c r="C291" s="974">
        <v>495</v>
      </c>
      <c r="D291" s="974">
        <v>-35</v>
      </c>
      <c r="E291" s="974">
        <v>-37</v>
      </c>
      <c r="F291" s="974">
        <v>29</v>
      </c>
      <c r="G291" s="974">
        <v>22</v>
      </c>
      <c r="H291" s="974">
        <v>5940</v>
      </c>
      <c r="I291" s="974">
        <v>23</v>
      </c>
      <c r="J291" s="974">
        <v>97</v>
      </c>
      <c r="K291" s="974">
        <v>570</v>
      </c>
      <c r="L291" s="974">
        <v>0.8</v>
      </c>
      <c r="M291" s="974">
        <v>750</v>
      </c>
      <c r="N291" s="974">
        <v>140</v>
      </c>
      <c r="O291" s="974">
        <v>2.6</v>
      </c>
      <c r="P291" s="974">
        <v>0.3</v>
      </c>
      <c r="Q291" s="974">
        <v>0.22</v>
      </c>
      <c r="R291" s="974">
        <v>0.3</v>
      </c>
    </row>
    <row r="292" spans="1:18" x14ac:dyDescent="0.35">
      <c r="A292" s="974" t="s">
        <v>1896</v>
      </c>
      <c r="B292" s="974" t="s">
        <v>1969</v>
      </c>
      <c r="C292" s="974">
        <v>255</v>
      </c>
      <c r="D292" s="974">
        <v>-26</v>
      </c>
      <c r="E292" s="974">
        <v>-28</v>
      </c>
      <c r="F292" s="974">
        <v>29</v>
      </c>
      <c r="G292" s="974">
        <v>23</v>
      </c>
      <c r="H292" s="974">
        <v>4760</v>
      </c>
      <c r="I292" s="974">
        <v>25</v>
      </c>
      <c r="J292" s="974">
        <v>103</v>
      </c>
      <c r="K292" s="974">
        <v>790</v>
      </c>
      <c r="L292" s="974">
        <v>0.9</v>
      </c>
      <c r="M292" s="974">
        <v>1050</v>
      </c>
      <c r="N292" s="974">
        <v>120</v>
      </c>
      <c r="O292" s="974">
        <v>2.7</v>
      </c>
      <c r="P292" s="974">
        <v>0.4</v>
      </c>
      <c r="Q292" s="974">
        <v>0.28000000000000003</v>
      </c>
      <c r="R292" s="974">
        <v>0.36</v>
      </c>
    </row>
    <row r="293" spans="1:18" x14ac:dyDescent="0.35">
      <c r="A293" s="974" t="s">
        <v>1896</v>
      </c>
      <c r="B293" s="974" t="s">
        <v>1970</v>
      </c>
      <c r="C293" s="974">
        <v>85</v>
      </c>
      <c r="D293" s="974">
        <v>-16</v>
      </c>
      <c r="E293" s="974">
        <v>-18</v>
      </c>
      <c r="F293" s="974">
        <v>30</v>
      </c>
      <c r="G293" s="974">
        <v>23</v>
      </c>
      <c r="H293" s="974">
        <v>3520</v>
      </c>
      <c r="I293" s="974">
        <v>23</v>
      </c>
      <c r="J293" s="974">
        <v>108</v>
      </c>
      <c r="K293" s="974">
        <v>760</v>
      </c>
      <c r="L293" s="974">
        <v>0.9</v>
      </c>
      <c r="M293" s="974">
        <v>875</v>
      </c>
      <c r="N293" s="974">
        <v>160</v>
      </c>
      <c r="O293" s="974">
        <v>0.9</v>
      </c>
      <c r="P293" s="974">
        <v>0.4</v>
      </c>
      <c r="Q293" s="974">
        <v>0.36</v>
      </c>
      <c r="R293" s="974">
        <v>0.46</v>
      </c>
    </row>
    <row r="294" spans="1:18" x14ac:dyDescent="0.35">
      <c r="A294" s="974" t="s">
        <v>1896</v>
      </c>
      <c r="B294" s="974" t="s">
        <v>1971</v>
      </c>
      <c r="C294" s="974">
        <v>340</v>
      </c>
      <c r="D294" s="974">
        <v>-19</v>
      </c>
      <c r="E294" s="974">
        <v>-21</v>
      </c>
      <c r="F294" s="974">
        <v>29</v>
      </c>
      <c r="G294" s="974">
        <v>23</v>
      </c>
      <c r="H294" s="974">
        <v>4270</v>
      </c>
      <c r="I294" s="974">
        <v>28</v>
      </c>
      <c r="J294" s="974">
        <v>103</v>
      </c>
      <c r="K294" s="974">
        <v>770</v>
      </c>
      <c r="L294" s="974">
        <v>0.9</v>
      </c>
      <c r="M294" s="974">
        <v>875</v>
      </c>
      <c r="N294" s="974">
        <v>140</v>
      </c>
      <c r="O294" s="974">
        <v>1.9</v>
      </c>
      <c r="P294" s="974">
        <v>0.4</v>
      </c>
      <c r="Q294" s="974">
        <v>0.28000000000000003</v>
      </c>
      <c r="R294" s="974">
        <v>0.36</v>
      </c>
    </row>
    <row r="295" spans="1:18" x14ac:dyDescent="0.35">
      <c r="A295" s="974" t="s">
        <v>1896</v>
      </c>
      <c r="B295" s="974" t="s">
        <v>1972</v>
      </c>
      <c r="C295" s="974">
        <v>280</v>
      </c>
      <c r="D295" s="974">
        <v>-24</v>
      </c>
      <c r="E295" s="974">
        <v>-26</v>
      </c>
      <c r="F295" s="974">
        <v>29</v>
      </c>
      <c r="G295" s="974">
        <v>23</v>
      </c>
      <c r="H295" s="974">
        <v>4300</v>
      </c>
      <c r="I295" s="974">
        <v>28</v>
      </c>
      <c r="J295" s="974">
        <v>103</v>
      </c>
      <c r="K295" s="974">
        <v>700</v>
      </c>
      <c r="L295" s="974">
        <v>0.8</v>
      </c>
      <c r="M295" s="974">
        <v>950</v>
      </c>
      <c r="N295" s="974">
        <v>120</v>
      </c>
      <c r="O295" s="974">
        <v>2.5</v>
      </c>
      <c r="P295" s="974">
        <v>0.4</v>
      </c>
      <c r="Q295" s="974">
        <v>0.28000000000000003</v>
      </c>
      <c r="R295" s="974">
        <v>0.36</v>
      </c>
    </row>
    <row r="296" spans="1:18" x14ac:dyDescent="0.35">
      <c r="A296" s="974" t="s">
        <v>1896</v>
      </c>
      <c r="B296" s="974" t="s">
        <v>1973</v>
      </c>
      <c r="C296" s="974">
        <v>210</v>
      </c>
      <c r="D296" s="974">
        <v>-32</v>
      </c>
      <c r="E296" s="974">
        <v>-35</v>
      </c>
      <c r="F296" s="974">
        <v>30</v>
      </c>
      <c r="G296" s="974">
        <v>22</v>
      </c>
      <c r="H296" s="974">
        <v>5600</v>
      </c>
      <c r="I296" s="974">
        <v>23</v>
      </c>
      <c r="J296" s="974">
        <v>92</v>
      </c>
      <c r="K296" s="974">
        <v>590</v>
      </c>
      <c r="L296" s="974">
        <v>0.8</v>
      </c>
      <c r="M296" s="974">
        <v>820</v>
      </c>
      <c r="N296" s="974">
        <v>120</v>
      </c>
      <c r="O296" s="974">
        <v>2.4</v>
      </c>
      <c r="P296" s="974">
        <v>0.4</v>
      </c>
      <c r="Q296" s="974">
        <v>0.34</v>
      </c>
      <c r="R296" s="974">
        <v>0.44</v>
      </c>
    </row>
    <row r="297" spans="1:18" x14ac:dyDescent="0.35">
      <c r="A297" s="974" t="s">
        <v>1896</v>
      </c>
      <c r="B297" s="974" t="s">
        <v>1974</v>
      </c>
      <c r="C297" s="974">
        <v>190</v>
      </c>
      <c r="D297" s="974">
        <v>-18</v>
      </c>
      <c r="E297" s="974">
        <v>-20</v>
      </c>
      <c r="F297" s="974">
        <v>30</v>
      </c>
      <c r="G297" s="974">
        <v>23</v>
      </c>
      <c r="H297" s="974">
        <v>3750</v>
      </c>
      <c r="I297" s="974">
        <v>23</v>
      </c>
      <c r="J297" s="974">
        <v>108</v>
      </c>
      <c r="K297" s="974">
        <v>810</v>
      </c>
      <c r="L297" s="974">
        <v>0.9</v>
      </c>
      <c r="M297" s="974">
        <v>875</v>
      </c>
      <c r="N297" s="974">
        <v>160</v>
      </c>
      <c r="O297" s="974">
        <v>1.2</v>
      </c>
      <c r="P297" s="974">
        <v>0.4</v>
      </c>
      <c r="Q297" s="974">
        <v>0.34</v>
      </c>
      <c r="R297" s="974">
        <v>0.44</v>
      </c>
    </row>
    <row r="298" spans="1:18" x14ac:dyDescent="0.35">
      <c r="A298" s="974" t="s">
        <v>1896</v>
      </c>
      <c r="B298" s="974" t="s">
        <v>1974</v>
      </c>
      <c r="C298" s="974">
        <v>215</v>
      </c>
      <c r="D298" s="974">
        <v>-17</v>
      </c>
      <c r="E298" s="974">
        <v>-19</v>
      </c>
      <c r="F298" s="974">
        <v>30</v>
      </c>
      <c r="G298" s="974">
        <v>23</v>
      </c>
      <c r="H298" s="974">
        <v>3760</v>
      </c>
      <c r="I298" s="974">
        <v>25</v>
      </c>
      <c r="J298" s="974">
        <v>97</v>
      </c>
      <c r="K298" s="974">
        <v>840</v>
      </c>
      <c r="L298" s="974">
        <v>1</v>
      </c>
      <c r="M298" s="974">
        <v>875</v>
      </c>
      <c r="N298" s="974">
        <v>160</v>
      </c>
      <c r="O298" s="974">
        <v>1.3</v>
      </c>
      <c r="P298" s="974">
        <v>0.4</v>
      </c>
      <c r="Q298" s="974">
        <v>0.36</v>
      </c>
      <c r="R298" s="974">
        <v>0.46</v>
      </c>
    </row>
    <row r="299" spans="1:18" x14ac:dyDescent="0.35">
      <c r="A299" s="974" t="s">
        <v>1896</v>
      </c>
      <c r="B299" s="974" t="s">
        <v>1975</v>
      </c>
      <c r="C299" s="974">
        <v>335</v>
      </c>
      <c r="D299" s="974">
        <v>-27</v>
      </c>
      <c r="E299" s="974">
        <v>-29</v>
      </c>
      <c r="F299" s="974">
        <v>29</v>
      </c>
      <c r="G299" s="974">
        <v>23</v>
      </c>
      <c r="H299" s="974">
        <v>4840</v>
      </c>
      <c r="I299" s="974">
        <v>25</v>
      </c>
      <c r="J299" s="974">
        <v>92</v>
      </c>
      <c r="K299" s="974">
        <v>780</v>
      </c>
      <c r="L299" s="974">
        <v>0.9</v>
      </c>
      <c r="M299" s="974">
        <v>980</v>
      </c>
      <c r="N299" s="974">
        <v>100</v>
      </c>
      <c r="O299" s="974">
        <v>2.9</v>
      </c>
      <c r="P299" s="974">
        <v>0.4</v>
      </c>
      <c r="Q299" s="974">
        <v>0.27</v>
      </c>
      <c r="R299" s="974">
        <v>0.35</v>
      </c>
    </row>
    <row r="300" spans="1:18" x14ac:dyDescent="0.35">
      <c r="A300" s="974" t="s">
        <v>1896</v>
      </c>
      <c r="B300" s="974" t="s">
        <v>1976</v>
      </c>
      <c r="C300" s="974">
        <v>255</v>
      </c>
      <c r="D300" s="974">
        <v>-19</v>
      </c>
      <c r="E300" s="974">
        <v>-21</v>
      </c>
      <c r="F300" s="974">
        <v>30</v>
      </c>
      <c r="G300" s="974">
        <v>23</v>
      </c>
      <c r="H300" s="974">
        <v>4200</v>
      </c>
      <c r="I300" s="974">
        <v>28</v>
      </c>
      <c r="J300" s="974">
        <v>119</v>
      </c>
      <c r="K300" s="974">
        <v>750</v>
      </c>
      <c r="L300" s="974">
        <v>0.8</v>
      </c>
      <c r="M300" s="974">
        <v>850</v>
      </c>
      <c r="N300" s="974">
        <v>140</v>
      </c>
      <c r="O300" s="974">
        <v>1.4</v>
      </c>
      <c r="P300" s="974">
        <v>0.4</v>
      </c>
      <c r="Q300" s="974">
        <v>0.28999999999999998</v>
      </c>
      <c r="R300" s="974">
        <v>0.37</v>
      </c>
    </row>
    <row r="301" spans="1:18" x14ac:dyDescent="0.35">
      <c r="A301" s="974" t="s">
        <v>1896</v>
      </c>
      <c r="B301" s="974" t="s">
        <v>1977</v>
      </c>
      <c r="C301" s="974">
        <v>90</v>
      </c>
      <c r="D301" s="974">
        <v>-17</v>
      </c>
      <c r="E301" s="974">
        <v>-19</v>
      </c>
      <c r="F301" s="974">
        <v>31</v>
      </c>
      <c r="G301" s="974">
        <v>23</v>
      </c>
      <c r="H301" s="974">
        <v>3460</v>
      </c>
      <c r="I301" s="974">
        <v>23</v>
      </c>
      <c r="J301" s="974">
        <v>108</v>
      </c>
      <c r="K301" s="974">
        <v>810</v>
      </c>
      <c r="L301" s="974">
        <v>0.9</v>
      </c>
      <c r="M301" s="974">
        <v>875</v>
      </c>
      <c r="N301" s="974">
        <v>160</v>
      </c>
      <c r="O301" s="974">
        <v>1.1000000000000001</v>
      </c>
      <c r="P301" s="974">
        <v>0.4</v>
      </c>
      <c r="Q301" s="974">
        <v>0.36</v>
      </c>
      <c r="R301" s="974">
        <v>0.46</v>
      </c>
    </row>
    <row r="302" spans="1:18" x14ac:dyDescent="0.35">
      <c r="A302" s="974" t="s">
        <v>1896</v>
      </c>
      <c r="B302" s="974" t="s">
        <v>1978</v>
      </c>
      <c r="C302" s="974">
        <v>270</v>
      </c>
      <c r="D302" s="974">
        <v>-19</v>
      </c>
      <c r="E302" s="974">
        <v>-21</v>
      </c>
      <c r="F302" s="974">
        <v>29</v>
      </c>
      <c r="G302" s="974">
        <v>22</v>
      </c>
      <c r="H302" s="974">
        <v>4300</v>
      </c>
      <c r="I302" s="974">
        <v>28</v>
      </c>
      <c r="J302" s="974">
        <v>103</v>
      </c>
      <c r="K302" s="974">
        <v>790</v>
      </c>
      <c r="L302" s="974">
        <v>0.9</v>
      </c>
      <c r="M302" s="974">
        <v>1050</v>
      </c>
      <c r="N302" s="974">
        <v>140</v>
      </c>
      <c r="O302" s="974">
        <v>2.6</v>
      </c>
      <c r="P302" s="974">
        <v>0.4</v>
      </c>
      <c r="Q302" s="974">
        <v>0.34</v>
      </c>
      <c r="R302" s="974">
        <v>0.44</v>
      </c>
    </row>
    <row r="303" spans="1:18" x14ac:dyDescent="0.35">
      <c r="A303" s="974" t="s">
        <v>1896</v>
      </c>
      <c r="B303" s="974" t="s">
        <v>1979</v>
      </c>
      <c r="C303" s="974">
        <v>200</v>
      </c>
      <c r="D303" s="974">
        <v>-24</v>
      </c>
      <c r="E303" s="974">
        <v>-26</v>
      </c>
      <c r="F303" s="974">
        <v>30</v>
      </c>
      <c r="G303" s="974">
        <v>23</v>
      </c>
      <c r="H303" s="974">
        <v>4280</v>
      </c>
      <c r="I303" s="974">
        <v>25</v>
      </c>
      <c r="J303" s="974">
        <v>92</v>
      </c>
      <c r="K303" s="974">
        <v>730</v>
      </c>
      <c r="L303" s="974">
        <v>0.9</v>
      </c>
      <c r="M303" s="974">
        <v>840</v>
      </c>
      <c r="N303" s="974">
        <v>140</v>
      </c>
      <c r="O303" s="974">
        <v>2</v>
      </c>
      <c r="P303" s="974">
        <v>0.4</v>
      </c>
      <c r="Q303" s="974">
        <v>0.32</v>
      </c>
      <c r="R303" s="974">
        <v>0.41</v>
      </c>
    </row>
    <row r="304" spans="1:18" x14ac:dyDescent="0.35">
      <c r="A304" s="974" t="s">
        <v>1896</v>
      </c>
      <c r="B304" s="974" t="s">
        <v>1980</v>
      </c>
      <c r="C304" s="974">
        <v>50</v>
      </c>
      <c r="D304" s="974">
        <v>-25</v>
      </c>
      <c r="E304" s="974">
        <v>-27</v>
      </c>
      <c r="F304" s="974">
        <v>30</v>
      </c>
      <c r="G304" s="974">
        <v>23</v>
      </c>
      <c r="H304" s="974">
        <v>4610</v>
      </c>
      <c r="I304" s="974">
        <v>23</v>
      </c>
      <c r="J304" s="974">
        <v>103</v>
      </c>
      <c r="K304" s="974">
        <v>800</v>
      </c>
      <c r="L304" s="974">
        <v>0.9</v>
      </c>
      <c r="M304" s="974">
        <v>925</v>
      </c>
      <c r="N304" s="974">
        <v>160</v>
      </c>
      <c r="O304" s="974">
        <v>2.2999999999999998</v>
      </c>
      <c r="P304" s="974">
        <v>0.4</v>
      </c>
      <c r="Q304" s="974">
        <v>0.32</v>
      </c>
      <c r="R304" s="974">
        <v>0.41</v>
      </c>
    </row>
    <row r="305" spans="1:18" x14ac:dyDescent="0.35">
      <c r="A305" s="974" t="s">
        <v>1896</v>
      </c>
      <c r="B305" s="974" t="s">
        <v>1981</v>
      </c>
      <c r="C305" s="974">
        <v>245</v>
      </c>
      <c r="D305" s="974">
        <v>-35</v>
      </c>
      <c r="E305" s="974">
        <v>-37</v>
      </c>
      <c r="F305" s="974">
        <v>29</v>
      </c>
      <c r="G305" s="974">
        <v>21</v>
      </c>
      <c r="H305" s="974">
        <v>6450</v>
      </c>
      <c r="I305" s="974">
        <v>20</v>
      </c>
      <c r="J305" s="974">
        <v>86</v>
      </c>
      <c r="K305" s="974">
        <v>520</v>
      </c>
      <c r="L305" s="974">
        <v>0.7</v>
      </c>
      <c r="M305" s="974">
        <v>825</v>
      </c>
      <c r="N305" s="974">
        <v>80</v>
      </c>
      <c r="O305" s="974">
        <v>2.8</v>
      </c>
      <c r="P305" s="974">
        <v>0.3</v>
      </c>
      <c r="Q305" s="974">
        <v>0.23</v>
      </c>
      <c r="R305" s="974">
        <v>0.3</v>
      </c>
    </row>
    <row r="306" spans="1:18" x14ac:dyDescent="0.35">
      <c r="A306" s="974" t="s">
        <v>1896</v>
      </c>
      <c r="B306" s="974" t="s">
        <v>1982</v>
      </c>
      <c r="C306" s="974">
        <v>180</v>
      </c>
      <c r="D306" s="974">
        <v>-24</v>
      </c>
      <c r="E306" s="974">
        <v>-26</v>
      </c>
      <c r="F306" s="974">
        <v>29</v>
      </c>
      <c r="G306" s="974">
        <v>23</v>
      </c>
      <c r="H306" s="974">
        <v>4300</v>
      </c>
      <c r="I306" s="974">
        <v>25</v>
      </c>
      <c r="J306" s="974">
        <v>97</v>
      </c>
      <c r="K306" s="974">
        <v>710</v>
      </c>
      <c r="L306" s="974">
        <v>0.9</v>
      </c>
      <c r="M306" s="974">
        <v>1050</v>
      </c>
      <c r="N306" s="974">
        <v>160</v>
      </c>
      <c r="O306" s="974">
        <v>2.7</v>
      </c>
      <c r="P306" s="974">
        <v>0.4</v>
      </c>
      <c r="Q306" s="974">
        <v>0.3</v>
      </c>
      <c r="R306" s="974">
        <v>0.39</v>
      </c>
    </row>
    <row r="307" spans="1:18" x14ac:dyDescent="0.35">
      <c r="A307" s="974" t="s">
        <v>1896</v>
      </c>
      <c r="B307" s="974" t="s">
        <v>1983</v>
      </c>
      <c r="C307" s="974">
        <v>360</v>
      </c>
      <c r="D307" s="974">
        <v>-37</v>
      </c>
      <c r="E307" s="974">
        <v>-40</v>
      </c>
      <c r="F307" s="974">
        <v>28</v>
      </c>
      <c r="G307" s="974">
        <v>21</v>
      </c>
      <c r="H307" s="974">
        <v>6340</v>
      </c>
      <c r="I307" s="974">
        <v>20</v>
      </c>
      <c r="J307" s="974">
        <v>93</v>
      </c>
      <c r="K307" s="974">
        <v>420</v>
      </c>
      <c r="L307" s="974">
        <v>0.7</v>
      </c>
      <c r="M307" s="974">
        <v>750</v>
      </c>
      <c r="N307" s="974">
        <v>80</v>
      </c>
      <c r="O307" s="974">
        <v>3.3</v>
      </c>
      <c r="P307" s="974">
        <v>0.4</v>
      </c>
      <c r="Q307" s="974">
        <v>0.22</v>
      </c>
      <c r="R307" s="974">
        <v>0.3</v>
      </c>
    </row>
    <row r="308" spans="1:18" x14ac:dyDescent="0.35">
      <c r="A308" s="974" t="s">
        <v>1896</v>
      </c>
      <c r="B308" s="974" t="s">
        <v>1984</v>
      </c>
      <c r="C308" s="974">
        <v>335</v>
      </c>
      <c r="D308" s="974">
        <v>-26</v>
      </c>
      <c r="E308" s="974">
        <v>-29</v>
      </c>
      <c r="F308" s="974">
        <v>29</v>
      </c>
      <c r="G308" s="974">
        <v>22</v>
      </c>
      <c r="H308" s="974">
        <v>4850</v>
      </c>
      <c r="I308" s="974">
        <v>25</v>
      </c>
      <c r="J308" s="974">
        <v>103</v>
      </c>
      <c r="K308" s="974">
        <v>800</v>
      </c>
      <c r="L308" s="974">
        <v>0.9</v>
      </c>
      <c r="M308" s="974">
        <v>1000</v>
      </c>
      <c r="N308" s="974">
        <v>120</v>
      </c>
      <c r="O308" s="974">
        <v>2.9</v>
      </c>
      <c r="P308" s="974">
        <v>0.4</v>
      </c>
      <c r="Q308" s="974">
        <v>0.27</v>
      </c>
      <c r="R308" s="974">
        <v>0.35</v>
      </c>
    </row>
    <row r="309" spans="1:18" x14ac:dyDescent="0.35">
      <c r="A309" s="974" t="s">
        <v>1896</v>
      </c>
      <c r="B309" s="974" t="s">
        <v>1985</v>
      </c>
      <c r="C309" s="974">
        <v>280</v>
      </c>
      <c r="D309" s="974">
        <v>-18</v>
      </c>
      <c r="E309" s="974">
        <v>-20</v>
      </c>
      <c r="F309" s="974">
        <v>30</v>
      </c>
      <c r="G309" s="974">
        <v>23</v>
      </c>
      <c r="H309" s="974">
        <v>3920</v>
      </c>
      <c r="I309" s="974">
        <v>28</v>
      </c>
      <c r="J309" s="974">
        <v>108</v>
      </c>
      <c r="K309" s="974">
        <v>840</v>
      </c>
      <c r="L309" s="974">
        <v>1</v>
      </c>
      <c r="M309" s="974">
        <v>950</v>
      </c>
      <c r="N309" s="974">
        <v>180</v>
      </c>
      <c r="O309" s="974">
        <v>1.7</v>
      </c>
      <c r="P309" s="974">
        <v>0.4</v>
      </c>
      <c r="Q309" s="974">
        <v>0.37</v>
      </c>
      <c r="R309" s="974">
        <v>0.48</v>
      </c>
    </row>
    <row r="310" spans="1:18" x14ac:dyDescent="0.35">
      <c r="A310" s="974" t="s">
        <v>1896</v>
      </c>
      <c r="B310" s="974" t="s">
        <v>1986</v>
      </c>
      <c r="C310" s="974">
        <v>275</v>
      </c>
      <c r="D310" s="974">
        <v>-33</v>
      </c>
      <c r="E310" s="974">
        <v>-36</v>
      </c>
      <c r="F310" s="974">
        <v>29</v>
      </c>
      <c r="G310" s="974">
        <v>21</v>
      </c>
      <c r="H310" s="974">
        <v>6100</v>
      </c>
      <c r="I310" s="974">
        <v>20</v>
      </c>
      <c r="J310" s="974">
        <v>86</v>
      </c>
      <c r="K310" s="974">
        <v>575</v>
      </c>
      <c r="L310" s="974">
        <v>0.8</v>
      </c>
      <c r="M310" s="974">
        <v>825</v>
      </c>
      <c r="N310" s="974">
        <v>100</v>
      </c>
      <c r="O310" s="974">
        <v>2.9</v>
      </c>
      <c r="P310" s="974">
        <v>0.3</v>
      </c>
      <c r="Q310" s="974">
        <v>0.28999999999999998</v>
      </c>
      <c r="R310" s="974">
        <v>0.37</v>
      </c>
    </row>
    <row r="311" spans="1:18" x14ac:dyDescent="0.35">
      <c r="A311" s="974" t="s">
        <v>1896</v>
      </c>
      <c r="B311" s="974" t="s">
        <v>1987</v>
      </c>
      <c r="C311" s="974">
        <v>330</v>
      </c>
      <c r="D311" s="974">
        <v>-36</v>
      </c>
      <c r="E311" s="974">
        <v>-39</v>
      </c>
      <c r="F311" s="974">
        <v>28</v>
      </c>
      <c r="G311" s="974">
        <v>21</v>
      </c>
      <c r="H311" s="974">
        <v>6400</v>
      </c>
      <c r="I311" s="974">
        <v>20</v>
      </c>
      <c r="J311" s="974">
        <v>86</v>
      </c>
      <c r="K311" s="974">
        <v>550</v>
      </c>
      <c r="L311" s="974">
        <v>0.8</v>
      </c>
      <c r="M311" s="974">
        <v>750</v>
      </c>
      <c r="N311" s="974">
        <v>100</v>
      </c>
      <c r="O311" s="974">
        <v>2.7</v>
      </c>
      <c r="P311" s="974">
        <v>0.4</v>
      </c>
      <c r="Q311" s="974">
        <v>0.22</v>
      </c>
      <c r="R311" s="974">
        <v>0.3</v>
      </c>
    </row>
    <row r="312" spans="1:18" x14ac:dyDescent="0.35">
      <c r="A312" s="974" t="s">
        <v>1896</v>
      </c>
      <c r="B312" s="974" t="s">
        <v>1988</v>
      </c>
      <c r="C312" s="974">
        <v>245</v>
      </c>
      <c r="D312" s="974">
        <v>-34</v>
      </c>
      <c r="E312" s="974">
        <v>-36</v>
      </c>
      <c r="F312" s="974">
        <v>29</v>
      </c>
      <c r="G312" s="974">
        <v>21</v>
      </c>
      <c r="H312" s="974">
        <v>6250</v>
      </c>
      <c r="I312" s="974">
        <v>20</v>
      </c>
      <c r="J312" s="974">
        <v>86</v>
      </c>
      <c r="K312" s="974">
        <v>550</v>
      </c>
      <c r="L312" s="974">
        <v>0.8</v>
      </c>
      <c r="M312" s="974">
        <v>825</v>
      </c>
      <c r="N312" s="974">
        <v>100</v>
      </c>
      <c r="O312" s="974">
        <v>3</v>
      </c>
      <c r="P312" s="974">
        <v>0.3</v>
      </c>
      <c r="Q312" s="974">
        <v>0.24</v>
      </c>
      <c r="R312" s="974">
        <v>0.31</v>
      </c>
    </row>
    <row r="313" spans="1:18" x14ac:dyDescent="0.35">
      <c r="A313" s="974" t="s">
        <v>1896</v>
      </c>
      <c r="B313" s="974" t="s">
        <v>1989</v>
      </c>
      <c r="C313" s="974">
        <v>90</v>
      </c>
      <c r="D313" s="974">
        <v>-25</v>
      </c>
      <c r="E313" s="974">
        <v>-27</v>
      </c>
      <c r="F313" s="974">
        <v>30</v>
      </c>
      <c r="G313" s="974">
        <v>23</v>
      </c>
      <c r="H313" s="974">
        <v>4540</v>
      </c>
      <c r="I313" s="974">
        <v>25</v>
      </c>
      <c r="J313" s="974">
        <v>92</v>
      </c>
      <c r="K313" s="974">
        <v>750</v>
      </c>
      <c r="L313" s="974">
        <v>0.9</v>
      </c>
      <c r="M313" s="974">
        <v>925</v>
      </c>
      <c r="N313" s="974">
        <v>160</v>
      </c>
      <c r="O313" s="974">
        <v>2.2999999999999998</v>
      </c>
      <c r="P313" s="974">
        <v>0.4</v>
      </c>
      <c r="Q313" s="974">
        <v>0.32</v>
      </c>
      <c r="R313" s="974">
        <v>0.41</v>
      </c>
    </row>
    <row r="314" spans="1:18" x14ac:dyDescent="0.35">
      <c r="A314" s="974" t="s">
        <v>1896</v>
      </c>
      <c r="B314" s="974" t="s">
        <v>1990</v>
      </c>
      <c r="C314" s="974">
        <v>370</v>
      </c>
      <c r="D314" s="974">
        <v>-33</v>
      </c>
      <c r="E314" s="974">
        <v>-35</v>
      </c>
      <c r="F314" s="974">
        <v>28</v>
      </c>
      <c r="G314" s="974">
        <v>22</v>
      </c>
      <c r="H314" s="974">
        <v>5630</v>
      </c>
      <c r="I314" s="974">
        <v>25</v>
      </c>
      <c r="J314" s="974">
        <v>113</v>
      </c>
      <c r="K314" s="974">
        <v>515</v>
      </c>
      <c r="L314" s="974">
        <v>0.6</v>
      </c>
      <c r="M314" s="974">
        <v>630</v>
      </c>
      <c r="N314" s="974">
        <v>120</v>
      </c>
      <c r="O314" s="974">
        <v>2.5</v>
      </c>
      <c r="P314" s="974">
        <v>0.3</v>
      </c>
      <c r="Q314" s="974">
        <v>0.23</v>
      </c>
      <c r="R314" s="974">
        <v>0.31</v>
      </c>
    </row>
    <row r="315" spans="1:18" x14ac:dyDescent="0.35">
      <c r="A315" s="974" t="s">
        <v>1896</v>
      </c>
      <c r="B315" s="974" t="s">
        <v>1991</v>
      </c>
      <c r="C315" s="974">
        <v>185</v>
      </c>
      <c r="D315" s="974">
        <v>-28</v>
      </c>
      <c r="E315" s="974">
        <v>-31</v>
      </c>
      <c r="F315" s="974">
        <v>30</v>
      </c>
      <c r="G315" s="974">
        <v>22</v>
      </c>
      <c r="H315" s="974">
        <v>4960</v>
      </c>
      <c r="I315" s="974">
        <v>23</v>
      </c>
      <c r="J315" s="974">
        <v>86</v>
      </c>
      <c r="K315" s="974">
        <v>680</v>
      </c>
      <c r="L315" s="974">
        <v>0.8</v>
      </c>
      <c r="M315" s="974">
        <v>825</v>
      </c>
      <c r="N315" s="974">
        <v>120</v>
      </c>
      <c r="O315" s="974">
        <v>2.7</v>
      </c>
      <c r="P315" s="974">
        <v>0.4</v>
      </c>
      <c r="Q315" s="974">
        <v>0.27</v>
      </c>
      <c r="R315" s="974">
        <v>0.35</v>
      </c>
    </row>
    <row r="316" spans="1:18" x14ac:dyDescent="0.35">
      <c r="A316" s="974" t="s">
        <v>1896</v>
      </c>
      <c r="B316" s="974" t="s">
        <v>1992</v>
      </c>
      <c r="C316" s="974">
        <v>190</v>
      </c>
      <c r="D316" s="974">
        <v>-17</v>
      </c>
      <c r="E316" s="974">
        <v>-19</v>
      </c>
      <c r="F316" s="974">
        <v>28</v>
      </c>
      <c r="G316" s="974">
        <v>22</v>
      </c>
      <c r="H316" s="974">
        <v>3890</v>
      </c>
      <c r="I316" s="974">
        <v>25</v>
      </c>
      <c r="J316" s="974">
        <v>92</v>
      </c>
      <c r="K316" s="974">
        <v>800</v>
      </c>
      <c r="L316" s="974">
        <v>1</v>
      </c>
      <c r="M316" s="974">
        <v>950</v>
      </c>
      <c r="N316" s="974">
        <v>180</v>
      </c>
      <c r="O316" s="974">
        <v>2.6</v>
      </c>
      <c r="P316" s="974">
        <v>0.4</v>
      </c>
      <c r="Q316" s="974">
        <v>0.37</v>
      </c>
      <c r="R316" s="974">
        <v>0.48</v>
      </c>
    </row>
    <row r="317" spans="1:18" x14ac:dyDescent="0.35">
      <c r="A317" s="974" t="s">
        <v>1896</v>
      </c>
      <c r="B317" s="974" t="s">
        <v>1993</v>
      </c>
      <c r="C317" s="974">
        <v>80</v>
      </c>
      <c r="D317" s="974">
        <v>-22</v>
      </c>
      <c r="E317" s="974">
        <v>-24</v>
      </c>
      <c r="F317" s="974">
        <v>28</v>
      </c>
      <c r="G317" s="974">
        <v>23</v>
      </c>
      <c r="H317" s="974">
        <v>4000</v>
      </c>
      <c r="I317" s="974">
        <v>23</v>
      </c>
      <c r="J317" s="974">
        <v>108</v>
      </c>
      <c r="K317" s="974">
        <v>780</v>
      </c>
      <c r="L317" s="974">
        <v>1</v>
      </c>
      <c r="M317" s="974">
        <v>950</v>
      </c>
      <c r="N317" s="974">
        <v>180</v>
      </c>
      <c r="O317" s="974">
        <v>2.1</v>
      </c>
      <c r="P317" s="974">
        <v>0.4</v>
      </c>
      <c r="Q317" s="974">
        <v>0.37</v>
      </c>
      <c r="R317" s="974">
        <v>0.47</v>
      </c>
    </row>
    <row r="318" spans="1:18" x14ac:dyDescent="0.35">
      <c r="A318" s="974" t="s">
        <v>1896</v>
      </c>
      <c r="B318" s="974" t="s">
        <v>1994</v>
      </c>
      <c r="C318" s="974">
        <v>295</v>
      </c>
      <c r="D318" s="974">
        <v>-26</v>
      </c>
      <c r="E318" s="974">
        <v>-28</v>
      </c>
      <c r="F318" s="974">
        <v>29</v>
      </c>
      <c r="G318" s="974">
        <v>23</v>
      </c>
      <c r="H318" s="974">
        <v>4600</v>
      </c>
      <c r="I318" s="974">
        <v>25</v>
      </c>
      <c r="J318" s="974">
        <v>108</v>
      </c>
      <c r="K318" s="974">
        <v>750</v>
      </c>
      <c r="L318" s="974">
        <v>0.9</v>
      </c>
      <c r="M318" s="974">
        <v>950</v>
      </c>
      <c r="N318" s="974">
        <v>120</v>
      </c>
      <c r="O318" s="974">
        <v>2.7</v>
      </c>
      <c r="P318" s="974">
        <v>0.4</v>
      </c>
      <c r="Q318" s="974">
        <v>0.27</v>
      </c>
      <c r="R318" s="974">
        <v>0.35</v>
      </c>
    </row>
    <row r="319" spans="1:18" x14ac:dyDescent="0.35">
      <c r="A319" s="974" t="s">
        <v>1896</v>
      </c>
      <c r="B319" s="974" t="s">
        <v>1995</v>
      </c>
      <c r="C319" s="974">
        <v>325</v>
      </c>
      <c r="D319" s="974">
        <v>-33</v>
      </c>
      <c r="E319" s="974">
        <v>-36</v>
      </c>
      <c r="F319" s="974">
        <v>29</v>
      </c>
      <c r="G319" s="974">
        <v>22</v>
      </c>
      <c r="H319" s="974">
        <v>6000</v>
      </c>
      <c r="I319" s="974">
        <v>23</v>
      </c>
      <c r="J319" s="974">
        <v>92</v>
      </c>
      <c r="K319" s="974">
        <v>600</v>
      </c>
      <c r="L319" s="974">
        <v>0.8</v>
      </c>
      <c r="M319" s="974">
        <v>875</v>
      </c>
      <c r="N319" s="974">
        <v>100</v>
      </c>
      <c r="O319" s="974">
        <v>2.9</v>
      </c>
      <c r="P319" s="974">
        <v>0.3</v>
      </c>
      <c r="Q319" s="974">
        <v>0.3</v>
      </c>
      <c r="R319" s="974">
        <v>0.39</v>
      </c>
    </row>
    <row r="320" spans="1:18" x14ac:dyDescent="0.35">
      <c r="A320" s="974" t="s">
        <v>1896</v>
      </c>
      <c r="B320" s="974" t="s">
        <v>1996</v>
      </c>
      <c r="C320" s="974">
        <v>335</v>
      </c>
      <c r="D320" s="974">
        <v>-19</v>
      </c>
      <c r="E320" s="974">
        <v>-21</v>
      </c>
      <c r="F320" s="974">
        <v>29</v>
      </c>
      <c r="G320" s="974">
        <v>23</v>
      </c>
      <c r="H320" s="974">
        <v>4200</v>
      </c>
      <c r="I320" s="974">
        <v>28</v>
      </c>
      <c r="J320" s="974">
        <v>119</v>
      </c>
      <c r="K320" s="974">
        <v>780</v>
      </c>
      <c r="L320" s="974">
        <v>0.9</v>
      </c>
      <c r="M320" s="974">
        <v>925</v>
      </c>
      <c r="N320" s="974">
        <v>140</v>
      </c>
      <c r="O320" s="974">
        <v>2</v>
      </c>
      <c r="P320" s="974">
        <v>0.4</v>
      </c>
      <c r="Q320" s="974">
        <v>0.28999999999999998</v>
      </c>
      <c r="R320" s="974">
        <v>0.37</v>
      </c>
    </row>
    <row r="321" spans="1:18" x14ac:dyDescent="0.35">
      <c r="A321" s="974" t="s">
        <v>1896</v>
      </c>
      <c r="B321" s="974" t="s">
        <v>1997</v>
      </c>
      <c r="C321" s="974">
        <v>215</v>
      </c>
      <c r="D321" s="974">
        <v>-38</v>
      </c>
      <c r="E321" s="974">
        <v>-40</v>
      </c>
      <c r="F321" s="974">
        <v>26</v>
      </c>
      <c r="G321" s="974">
        <v>20</v>
      </c>
      <c r="H321" s="974">
        <v>7450</v>
      </c>
      <c r="I321" s="974">
        <v>18</v>
      </c>
      <c r="J321" s="974">
        <v>92</v>
      </c>
      <c r="K321" s="974">
        <v>400</v>
      </c>
      <c r="L321" s="974">
        <v>0.75</v>
      </c>
      <c r="M321" s="974">
        <v>600</v>
      </c>
      <c r="N321" s="974">
        <v>150</v>
      </c>
      <c r="O321" s="974">
        <v>3.2</v>
      </c>
      <c r="P321" s="974">
        <v>0.2</v>
      </c>
      <c r="Q321" s="974">
        <v>0.31</v>
      </c>
      <c r="R321" s="974">
        <v>0.42</v>
      </c>
    </row>
    <row r="322" spans="1:18" x14ac:dyDescent="0.35">
      <c r="A322" s="974" t="s">
        <v>1896</v>
      </c>
      <c r="B322" s="974" t="s">
        <v>1998</v>
      </c>
      <c r="C322" s="974">
        <v>240</v>
      </c>
      <c r="D322" s="974">
        <v>-24</v>
      </c>
      <c r="E322" s="974">
        <v>-26</v>
      </c>
      <c r="F322" s="974">
        <v>30</v>
      </c>
      <c r="G322" s="974">
        <v>23</v>
      </c>
      <c r="H322" s="974">
        <v>4330</v>
      </c>
      <c r="I322" s="974">
        <v>25</v>
      </c>
      <c r="J322" s="974">
        <v>92</v>
      </c>
      <c r="K322" s="974">
        <v>720</v>
      </c>
      <c r="L322" s="974">
        <v>0.9</v>
      </c>
      <c r="M322" s="974">
        <v>850</v>
      </c>
      <c r="N322" s="974">
        <v>140</v>
      </c>
      <c r="O322" s="974">
        <v>2.2000000000000002</v>
      </c>
      <c r="P322" s="974">
        <v>0.4</v>
      </c>
      <c r="Q322" s="974">
        <v>0.3</v>
      </c>
      <c r="R322" s="974">
        <v>0.38</v>
      </c>
    </row>
    <row r="323" spans="1:18" x14ac:dyDescent="0.35">
      <c r="A323" s="974" t="s">
        <v>1896</v>
      </c>
      <c r="B323" s="974" t="s">
        <v>1999</v>
      </c>
      <c r="C323" s="974">
        <v>240</v>
      </c>
      <c r="D323" s="974">
        <v>-38</v>
      </c>
      <c r="E323" s="974">
        <v>-40</v>
      </c>
      <c r="F323" s="974">
        <v>28</v>
      </c>
      <c r="G323" s="974">
        <v>21</v>
      </c>
      <c r="H323" s="974">
        <v>7150</v>
      </c>
      <c r="I323" s="974">
        <v>23</v>
      </c>
      <c r="J323" s="974">
        <v>92</v>
      </c>
      <c r="K323" s="974">
        <v>500</v>
      </c>
      <c r="L323" s="974">
        <v>0.8</v>
      </c>
      <c r="M323" s="974">
        <v>680</v>
      </c>
      <c r="N323" s="974">
        <v>140</v>
      </c>
      <c r="O323" s="974">
        <v>3</v>
      </c>
      <c r="P323" s="974">
        <v>0.2</v>
      </c>
      <c r="Q323" s="974">
        <v>0.24</v>
      </c>
      <c r="R323" s="974">
        <v>0.32</v>
      </c>
    </row>
    <row r="324" spans="1:18" x14ac:dyDescent="0.35">
      <c r="A324" s="974" t="s">
        <v>1896</v>
      </c>
      <c r="B324" s="974" t="s">
        <v>2000</v>
      </c>
      <c r="C324" s="974">
        <v>190</v>
      </c>
      <c r="D324" s="974">
        <v>-15</v>
      </c>
      <c r="E324" s="974">
        <v>-17</v>
      </c>
      <c r="F324" s="974">
        <v>31</v>
      </c>
      <c r="G324" s="974">
        <v>24</v>
      </c>
      <c r="H324" s="974">
        <v>3400</v>
      </c>
      <c r="I324" s="974">
        <v>28</v>
      </c>
      <c r="J324" s="974">
        <v>113</v>
      </c>
      <c r="K324" s="974">
        <v>800</v>
      </c>
      <c r="L324" s="974">
        <v>0.9</v>
      </c>
      <c r="M324" s="974">
        <v>875</v>
      </c>
      <c r="N324" s="974">
        <v>180</v>
      </c>
      <c r="O324" s="974">
        <v>0.8</v>
      </c>
      <c r="P324" s="974">
        <v>0.4</v>
      </c>
      <c r="Q324" s="974">
        <v>0.37</v>
      </c>
      <c r="R324" s="974">
        <v>0.47</v>
      </c>
    </row>
    <row r="325" spans="1:18" x14ac:dyDescent="0.35">
      <c r="A325" s="974" t="s">
        <v>1896</v>
      </c>
      <c r="B325" s="974" t="s">
        <v>2001</v>
      </c>
      <c r="C325" s="974">
        <v>265</v>
      </c>
      <c r="D325" s="974">
        <v>-24</v>
      </c>
      <c r="E325" s="974">
        <v>-26</v>
      </c>
      <c r="F325" s="974">
        <v>30</v>
      </c>
      <c r="G325" s="974">
        <v>23</v>
      </c>
      <c r="H325" s="974">
        <v>4320</v>
      </c>
      <c r="I325" s="974">
        <v>25</v>
      </c>
      <c r="J325" s="974">
        <v>103</v>
      </c>
      <c r="K325" s="974">
        <v>720</v>
      </c>
      <c r="L325" s="974">
        <v>0.8</v>
      </c>
      <c r="M325" s="974">
        <v>850</v>
      </c>
      <c r="N325" s="974">
        <v>140</v>
      </c>
      <c r="O325" s="974">
        <v>2.2999999999999998</v>
      </c>
      <c r="P325" s="974">
        <v>0.4</v>
      </c>
      <c r="Q325" s="974">
        <v>0.3</v>
      </c>
      <c r="R325" s="974">
        <v>0.38</v>
      </c>
    </row>
    <row r="326" spans="1:18" x14ac:dyDescent="0.35">
      <c r="A326" s="974" t="s">
        <v>1896</v>
      </c>
      <c r="B326" s="974" t="s">
        <v>2002</v>
      </c>
      <c r="C326" s="974">
        <v>185</v>
      </c>
      <c r="D326" s="974">
        <v>-19</v>
      </c>
      <c r="E326" s="974">
        <v>-21</v>
      </c>
      <c r="F326" s="974">
        <v>27</v>
      </c>
      <c r="G326" s="974">
        <v>22</v>
      </c>
      <c r="H326" s="974">
        <v>4300</v>
      </c>
      <c r="I326" s="974">
        <v>25</v>
      </c>
      <c r="J326" s="974">
        <v>103</v>
      </c>
      <c r="K326" s="974">
        <v>700</v>
      </c>
      <c r="L326" s="974">
        <v>0.9</v>
      </c>
      <c r="M326" s="974">
        <v>950</v>
      </c>
      <c r="N326" s="974">
        <v>180</v>
      </c>
      <c r="O326" s="974">
        <v>2.7</v>
      </c>
      <c r="P326" s="974">
        <v>0.4</v>
      </c>
      <c r="Q326" s="974">
        <v>0.37</v>
      </c>
      <c r="R326" s="974">
        <v>0.48</v>
      </c>
    </row>
    <row r="327" spans="1:18" x14ac:dyDescent="0.35">
      <c r="A327" s="974" t="s">
        <v>1896</v>
      </c>
      <c r="B327" s="974" t="s">
        <v>2003</v>
      </c>
      <c r="C327" s="974">
        <v>380</v>
      </c>
      <c r="D327" s="974">
        <v>-19</v>
      </c>
      <c r="E327" s="974">
        <v>-21</v>
      </c>
      <c r="F327" s="974">
        <v>29</v>
      </c>
      <c r="G327" s="974">
        <v>23</v>
      </c>
      <c r="H327" s="974">
        <v>4300</v>
      </c>
      <c r="I327" s="974">
        <v>28</v>
      </c>
      <c r="J327" s="974">
        <v>119</v>
      </c>
      <c r="K327" s="974">
        <v>800</v>
      </c>
      <c r="L327" s="974">
        <v>0.9</v>
      </c>
      <c r="M327" s="974">
        <v>1000</v>
      </c>
      <c r="N327" s="974">
        <v>160</v>
      </c>
      <c r="O327" s="974">
        <v>2.6</v>
      </c>
      <c r="P327" s="974">
        <v>0.4</v>
      </c>
      <c r="Q327" s="974">
        <v>0.34</v>
      </c>
      <c r="R327" s="974">
        <v>0.43</v>
      </c>
    </row>
    <row r="328" spans="1:18" x14ac:dyDescent="0.35">
      <c r="A328" s="974" t="s">
        <v>1896</v>
      </c>
      <c r="B328" s="974" t="s">
        <v>2004</v>
      </c>
      <c r="C328" s="974">
        <v>245</v>
      </c>
      <c r="D328" s="974">
        <v>-18</v>
      </c>
      <c r="E328" s="974">
        <v>-20</v>
      </c>
      <c r="F328" s="974">
        <v>30</v>
      </c>
      <c r="G328" s="974">
        <v>24</v>
      </c>
      <c r="H328" s="974">
        <v>3900</v>
      </c>
      <c r="I328" s="974">
        <v>28</v>
      </c>
      <c r="J328" s="974">
        <v>103</v>
      </c>
      <c r="K328" s="974">
        <v>825</v>
      </c>
      <c r="L328" s="974">
        <v>0.9</v>
      </c>
      <c r="M328" s="974">
        <v>975</v>
      </c>
      <c r="N328" s="974">
        <v>180</v>
      </c>
      <c r="O328" s="974">
        <v>1.9</v>
      </c>
      <c r="P328" s="974">
        <v>0.4</v>
      </c>
      <c r="Q328" s="974">
        <v>0.37</v>
      </c>
      <c r="R328" s="974">
        <v>0.47</v>
      </c>
    </row>
    <row r="329" spans="1:18" x14ac:dyDescent="0.35">
      <c r="A329" s="974" t="s">
        <v>1896</v>
      </c>
      <c r="B329" s="974" t="s">
        <v>2005</v>
      </c>
      <c r="C329" s="974">
        <v>300</v>
      </c>
      <c r="D329" s="974">
        <v>-17</v>
      </c>
      <c r="E329" s="974">
        <v>-19</v>
      </c>
      <c r="F329" s="974">
        <v>30</v>
      </c>
      <c r="G329" s="974">
        <v>23</v>
      </c>
      <c r="H329" s="974">
        <v>3900</v>
      </c>
      <c r="I329" s="974">
        <v>25</v>
      </c>
      <c r="J329" s="974">
        <v>113</v>
      </c>
      <c r="K329" s="974">
        <v>810</v>
      </c>
      <c r="L329" s="974">
        <v>0.9</v>
      </c>
      <c r="M329" s="974">
        <v>1000</v>
      </c>
      <c r="N329" s="974">
        <v>180</v>
      </c>
      <c r="O329" s="974">
        <v>2.2999999999999998</v>
      </c>
      <c r="P329" s="974">
        <v>0.4</v>
      </c>
      <c r="Q329" s="974">
        <v>0.37</v>
      </c>
      <c r="R329" s="974">
        <v>0.48</v>
      </c>
    </row>
    <row r="330" spans="1:18" x14ac:dyDescent="0.35">
      <c r="A330" s="974" t="s">
        <v>1896</v>
      </c>
      <c r="B330" s="974" t="s">
        <v>2006</v>
      </c>
      <c r="C330" s="974">
        <v>85</v>
      </c>
      <c r="D330" s="974">
        <v>-23</v>
      </c>
      <c r="E330" s="974">
        <v>-25</v>
      </c>
      <c r="F330" s="974">
        <v>29</v>
      </c>
      <c r="G330" s="974">
        <v>23</v>
      </c>
      <c r="H330" s="974">
        <v>4080</v>
      </c>
      <c r="I330" s="974">
        <v>25</v>
      </c>
      <c r="J330" s="974">
        <v>103</v>
      </c>
      <c r="K330" s="974">
        <v>770</v>
      </c>
      <c r="L330" s="974">
        <v>0.9</v>
      </c>
      <c r="M330" s="974">
        <v>975</v>
      </c>
      <c r="N330" s="974">
        <v>180</v>
      </c>
      <c r="O330" s="974">
        <v>2.2000000000000002</v>
      </c>
      <c r="P330" s="974">
        <v>0.4</v>
      </c>
      <c r="Q330" s="974">
        <v>0.34</v>
      </c>
      <c r="R330" s="974">
        <v>0.44</v>
      </c>
    </row>
    <row r="331" spans="1:18" x14ac:dyDescent="0.35">
      <c r="A331" s="974" t="s">
        <v>1896</v>
      </c>
      <c r="B331" s="974" t="s">
        <v>2007</v>
      </c>
      <c r="C331" s="974">
        <v>425</v>
      </c>
      <c r="D331" s="974">
        <v>-20</v>
      </c>
      <c r="E331" s="974">
        <v>-22</v>
      </c>
      <c r="F331" s="974">
        <v>29</v>
      </c>
      <c r="G331" s="974">
        <v>22</v>
      </c>
      <c r="H331" s="974">
        <v>4500</v>
      </c>
      <c r="I331" s="974">
        <v>28</v>
      </c>
      <c r="J331" s="974">
        <v>103</v>
      </c>
      <c r="K331" s="974">
        <v>820</v>
      </c>
      <c r="L331" s="974">
        <v>0.9</v>
      </c>
      <c r="M331" s="974">
        <v>1050</v>
      </c>
      <c r="N331" s="974">
        <v>160</v>
      </c>
      <c r="O331" s="974">
        <v>3.2</v>
      </c>
      <c r="P331" s="974">
        <v>0.4</v>
      </c>
      <c r="Q331" s="974">
        <v>0.32</v>
      </c>
      <c r="R331" s="974">
        <v>0.41</v>
      </c>
    </row>
    <row r="332" spans="1:18" x14ac:dyDescent="0.35">
      <c r="A332" s="974" t="s">
        <v>1896</v>
      </c>
      <c r="B332" s="974" t="s">
        <v>2008</v>
      </c>
      <c r="C332" s="974">
        <v>175</v>
      </c>
      <c r="D332" s="974">
        <v>-21</v>
      </c>
      <c r="E332" s="974">
        <v>-23</v>
      </c>
      <c r="F332" s="974">
        <v>31</v>
      </c>
      <c r="G332" s="974">
        <v>24</v>
      </c>
      <c r="H332" s="974">
        <v>4000</v>
      </c>
      <c r="I332" s="974">
        <v>25</v>
      </c>
      <c r="J332" s="974">
        <v>86</v>
      </c>
      <c r="K332" s="974">
        <v>720</v>
      </c>
      <c r="L332" s="974">
        <v>0.8</v>
      </c>
      <c r="M332" s="974">
        <v>825</v>
      </c>
      <c r="N332" s="974">
        <v>140</v>
      </c>
      <c r="O332" s="974">
        <v>1.3</v>
      </c>
      <c r="P332" s="974">
        <v>0.4</v>
      </c>
      <c r="Q332" s="974">
        <v>0.34</v>
      </c>
      <c r="R332" s="974">
        <v>0.44</v>
      </c>
    </row>
    <row r="333" spans="1:18" x14ac:dyDescent="0.35">
      <c r="A333" s="974" t="s">
        <v>1896</v>
      </c>
      <c r="B333" s="974" t="s">
        <v>2009</v>
      </c>
      <c r="C333" s="974">
        <v>485</v>
      </c>
      <c r="D333" s="974">
        <v>-35</v>
      </c>
      <c r="E333" s="974">
        <v>-37</v>
      </c>
      <c r="F333" s="974">
        <v>29</v>
      </c>
      <c r="G333" s="974">
        <v>22</v>
      </c>
      <c r="H333" s="974">
        <v>5900</v>
      </c>
      <c r="I333" s="974">
        <v>25</v>
      </c>
      <c r="J333" s="974">
        <v>103</v>
      </c>
      <c r="K333" s="974">
        <v>560</v>
      </c>
      <c r="L333" s="974">
        <v>0.8</v>
      </c>
      <c r="M333" s="974">
        <v>750</v>
      </c>
      <c r="N333" s="974">
        <v>120</v>
      </c>
      <c r="O333" s="974">
        <v>2.6</v>
      </c>
      <c r="P333" s="974">
        <v>0.3</v>
      </c>
      <c r="Q333" s="974">
        <v>0.22</v>
      </c>
      <c r="R333" s="974">
        <v>0.3</v>
      </c>
    </row>
    <row r="334" spans="1:18" x14ac:dyDescent="0.35">
      <c r="A334" s="974" t="s">
        <v>1896</v>
      </c>
      <c r="B334" s="974" t="s">
        <v>2010</v>
      </c>
      <c r="C334" s="974">
        <v>265</v>
      </c>
      <c r="D334" s="974">
        <v>-33</v>
      </c>
      <c r="E334" s="974">
        <v>-36</v>
      </c>
      <c r="F334" s="974">
        <v>29</v>
      </c>
      <c r="G334" s="974">
        <v>21</v>
      </c>
      <c r="H334" s="974">
        <v>6080</v>
      </c>
      <c r="I334" s="974">
        <v>20</v>
      </c>
      <c r="J334" s="974">
        <v>86</v>
      </c>
      <c r="K334" s="974">
        <v>580</v>
      </c>
      <c r="L334" s="974">
        <v>0.8</v>
      </c>
      <c r="M334" s="974">
        <v>825</v>
      </c>
      <c r="N334" s="974">
        <v>100</v>
      </c>
      <c r="O334" s="974">
        <v>2.8</v>
      </c>
      <c r="P334" s="974">
        <v>0.3</v>
      </c>
      <c r="Q334" s="974">
        <v>0.3</v>
      </c>
      <c r="R334" s="974">
        <v>0.39</v>
      </c>
    </row>
    <row r="335" spans="1:18" x14ac:dyDescent="0.35">
      <c r="A335" s="974" t="s">
        <v>1896</v>
      </c>
      <c r="B335" s="974" t="s">
        <v>2011</v>
      </c>
      <c r="C335" s="974">
        <v>165</v>
      </c>
      <c r="D335" s="974">
        <v>-29</v>
      </c>
      <c r="E335" s="974">
        <v>-31</v>
      </c>
      <c r="F335" s="974">
        <v>30</v>
      </c>
      <c r="G335" s="974">
        <v>22</v>
      </c>
      <c r="H335" s="974">
        <v>5050</v>
      </c>
      <c r="I335" s="974">
        <v>23</v>
      </c>
      <c r="J335" s="974">
        <v>86</v>
      </c>
      <c r="K335" s="974">
        <v>700</v>
      </c>
      <c r="L335" s="974">
        <v>0.9</v>
      </c>
      <c r="M335" s="974">
        <v>875</v>
      </c>
      <c r="N335" s="974">
        <v>100</v>
      </c>
      <c r="O335" s="974">
        <v>2.1</v>
      </c>
      <c r="P335" s="974">
        <v>0.4</v>
      </c>
      <c r="Q335" s="974">
        <v>0.25</v>
      </c>
      <c r="R335" s="974">
        <v>0.32</v>
      </c>
    </row>
    <row r="336" spans="1:18" x14ac:dyDescent="0.35">
      <c r="A336" s="974" t="s">
        <v>1896</v>
      </c>
      <c r="B336" s="974" t="s">
        <v>2012</v>
      </c>
      <c r="C336" s="974">
        <v>190</v>
      </c>
      <c r="D336" s="974">
        <v>-24</v>
      </c>
      <c r="E336" s="974">
        <v>-26</v>
      </c>
      <c r="F336" s="974">
        <v>29</v>
      </c>
      <c r="G336" s="974">
        <v>23</v>
      </c>
      <c r="H336" s="974">
        <v>4200</v>
      </c>
      <c r="I336" s="974">
        <v>25</v>
      </c>
      <c r="J336" s="974">
        <v>97</v>
      </c>
      <c r="K336" s="974">
        <v>740</v>
      </c>
      <c r="L336" s="974">
        <v>0.9</v>
      </c>
      <c r="M336" s="974">
        <v>1060</v>
      </c>
      <c r="N336" s="974">
        <v>160</v>
      </c>
      <c r="O336" s="974">
        <v>2.7</v>
      </c>
      <c r="P336" s="974">
        <v>0.4</v>
      </c>
      <c r="Q336" s="974">
        <v>0.3</v>
      </c>
      <c r="R336" s="974">
        <v>0.39</v>
      </c>
    </row>
    <row r="337" spans="1:18" x14ac:dyDescent="0.35">
      <c r="A337" s="974" t="s">
        <v>1896</v>
      </c>
      <c r="B337" s="974" t="s">
        <v>2013</v>
      </c>
      <c r="C337" s="974">
        <v>200</v>
      </c>
      <c r="D337" s="974">
        <v>-18</v>
      </c>
      <c r="E337" s="974">
        <v>-20</v>
      </c>
      <c r="F337" s="974">
        <v>30</v>
      </c>
      <c r="G337" s="974">
        <v>23</v>
      </c>
      <c r="H337" s="974">
        <v>3920</v>
      </c>
      <c r="I337" s="974">
        <v>25</v>
      </c>
      <c r="J337" s="974">
        <v>125</v>
      </c>
      <c r="K337" s="974">
        <v>750</v>
      </c>
      <c r="L337" s="974">
        <v>0.9</v>
      </c>
      <c r="M337" s="974">
        <v>850</v>
      </c>
      <c r="N337" s="974">
        <v>160</v>
      </c>
      <c r="O337" s="974">
        <v>1.3</v>
      </c>
      <c r="P337" s="974">
        <v>0.4</v>
      </c>
      <c r="Q337" s="974">
        <v>0.34</v>
      </c>
      <c r="R337" s="974">
        <v>0.43</v>
      </c>
    </row>
    <row r="338" spans="1:18" x14ac:dyDescent="0.35">
      <c r="A338" s="974" t="s">
        <v>1896</v>
      </c>
      <c r="B338" s="974" t="s">
        <v>2014</v>
      </c>
      <c r="C338" s="974">
        <v>370</v>
      </c>
      <c r="D338" s="974">
        <v>-19</v>
      </c>
      <c r="E338" s="974">
        <v>-21</v>
      </c>
      <c r="F338" s="974">
        <v>29</v>
      </c>
      <c r="G338" s="974">
        <v>23</v>
      </c>
      <c r="H338" s="974">
        <v>4200</v>
      </c>
      <c r="I338" s="974">
        <v>28</v>
      </c>
      <c r="J338" s="974">
        <v>108</v>
      </c>
      <c r="K338" s="974">
        <v>800</v>
      </c>
      <c r="L338" s="974">
        <v>0.9</v>
      </c>
      <c r="M338" s="974">
        <v>1050</v>
      </c>
      <c r="N338" s="974">
        <v>160</v>
      </c>
      <c r="O338" s="974">
        <v>2.4</v>
      </c>
      <c r="P338" s="974">
        <v>0.4</v>
      </c>
      <c r="Q338" s="974">
        <v>0.34</v>
      </c>
      <c r="R338" s="974">
        <v>0.43</v>
      </c>
    </row>
    <row r="339" spans="1:18" x14ac:dyDescent="0.35">
      <c r="A339" s="974" t="s">
        <v>1896</v>
      </c>
      <c r="B339" s="974" t="s">
        <v>2015</v>
      </c>
      <c r="C339" s="974">
        <v>270</v>
      </c>
      <c r="D339" s="974">
        <v>-27</v>
      </c>
      <c r="E339" s="974">
        <v>-29</v>
      </c>
      <c r="F339" s="974">
        <v>29</v>
      </c>
      <c r="G339" s="974">
        <v>23</v>
      </c>
      <c r="H339" s="974">
        <v>4640</v>
      </c>
      <c r="I339" s="974">
        <v>25</v>
      </c>
      <c r="J339" s="974">
        <v>97</v>
      </c>
      <c r="K339" s="974">
        <v>780</v>
      </c>
      <c r="L339" s="974">
        <v>0.9</v>
      </c>
      <c r="M339" s="974">
        <v>1010</v>
      </c>
      <c r="N339" s="974">
        <v>100</v>
      </c>
      <c r="O339" s="974">
        <v>2.7</v>
      </c>
      <c r="P339" s="974">
        <v>0.4</v>
      </c>
      <c r="Q339" s="974">
        <v>0.27</v>
      </c>
      <c r="R339" s="974">
        <v>0.35</v>
      </c>
    </row>
    <row r="340" spans="1:18" x14ac:dyDescent="0.35">
      <c r="A340" s="974" t="s">
        <v>1896</v>
      </c>
      <c r="B340" s="974" t="s">
        <v>2016</v>
      </c>
      <c r="C340" s="974">
        <v>160</v>
      </c>
      <c r="D340" s="974">
        <v>-18</v>
      </c>
      <c r="E340" s="974">
        <v>-20</v>
      </c>
      <c r="F340" s="974">
        <v>30</v>
      </c>
      <c r="G340" s="974">
        <v>23</v>
      </c>
      <c r="H340" s="974">
        <v>3880</v>
      </c>
      <c r="I340" s="974">
        <v>25</v>
      </c>
      <c r="J340" s="974">
        <v>113</v>
      </c>
      <c r="K340" s="974">
        <v>720</v>
      </c>
      <c r="L340" s="974">
        <v>0.9</v>
      </c>
      <c r="M340" s="974">
        <v>800</v>
      </c>
      <c r="N340" s="974">
        <v>160</v>
      </c>
      <c r="O340" s="974">
        <v>1.1000000000000001</v>
      </c>
      <c r="P340" s="974">
        <v>0.4</v>
      </c>
      <c r="Q340" s="974">
        <v>0.34</v>
      </c>
      <c r="R340" s="974">
        <v>0.44</v>
      </c>
    </row>
    <row r="341" spans="1:18" x14ac:dyDescent="0.35">
      <c r="A341" s="974" t="s">
        <v>1896</v>
      </c>
      <c r="B341" s="974" t="s">
        <v>2017</v>
      </c>
      <c r="C341" s="974">
        <v>170</v>
      </c>
      <c r="D341" s="974">
        <v>-20</v>
      </c>
      <c r="E341" s="974">
        <v>-22</v>
      </c>
      <c r="F341" s="974">
        <v>31</v>
      </c>
      <c r="G341" s="974">
        <v>24</v>
      </c>
      <c r="H341" s="974">
        <v>3890</v>
      </c>
      <c r="I341" s="974">
        <v>26</v>
      </c>
      <c r="J341" s="974">
        <v>108</v>
      </c>
      <c r="K341" s="974">
        <v>685</v>
      </c>
      <c r="L341" s="974">
        <v>0.8</v>
      </c>
      <c r="M341" s="974">
        <v>790</v>
      </c>
      <c r="N341" s="974">
        <v>160</v>
      </c>
      <c r="O341" s="974">
        <v>1.1000000000000001</v>
      </c>
      <c r="P341" s="974">
        <v>0.4</v>
      </c>
      <c r="Q341" s="974">
        <v>0.34</v>
      </c>
      <c r="R341" s="974">
        <v>0.44</v>
      </c>
    </row>
    <row r="342" spans="1:18" x14ac:dyDescent="0.35">
      <c r="A342" s="974" t="s">
        <v>1896</v>
      </c>
      <c r="B342" s="974" t="s">
        <v>2016</v>
      </c>
      <c r="C342" s="974">
        <v>75</v>
      </c>
      <c r="D342" s="974">
        <v>-18</v>
      </c>
      <c r="E342" s="974">
        <v>-20</v>
      </c>
      <c r="F342" s="974">
        <v>29</v>
      </c>
      <c r="G342" s="974">
        <v>23</v>
      </c>
      <c r="H342" s="974">
        <v>3780</v>
      </c>
      <c r="I342" s="974">
        <v>25</v>
      </c>
      <c r="J342" s="974">
        <v>108</v>
      </c>
      <c r="K342" s="974">
        <v>720</v>
      </c>
      <c r="L342" s="974">
        <v>0.9</v>
      </c>
      <c r="M342" s="974">
        <v>800</v>
      </c>
      <c r="N342" s="974">
        <v>160</v>
      </c>
      <c r="O342" s="974">
        <v>0.9</v>
      </c>
      <c r="P342" s="974">
        <v>0.4</v>
      </c>
      <c r="Q342" s="974">
        <v>0.37</v>
      </c>
      <c r="R342" s="974">
        <v>0.48</v>
      </c>
    </row>
    <row r="343" spans="1:18" x14ac:dyDescent="0.35">
      <c r="A343" s="974" t="s">
        <v>1896</v>
      </c>
      <c r="B343" s="974" t="s">
        <v>2018</v>
      </c>
      <c r="C343" s="974">
        <v>335</v>
      </c>
      <c r="D343" s="974">
        <v>-18</v>
      </c>
      <c r="E343" s="974">
        <v>-20</v>
      </c>
      <c r="F343" s="974">
        <v>29</v>
      </c>
      <c r="G343" s="974">
        <v>23</v>
      </c>
      <c r="H343" s="974">
        <v>4100</v>
      </c>
      <c r="I343" s="974">
        <v>28</v>
      </c>
      <c r="J343" s="974">
        <v>113</v>
      </c>
      <c r="K343" s="974">
        <v>810</v>
      </c>
      <c r="L343" s="974">
        <v>0.9</v>
      </c>
      <c r="M343" s="974">
        <v>1050</v>
      </c>
      <c r="N343" s="974">
        <v>160</v>
      </c>
      <c r="O343" s="974">
        <v>2.4</v>
      </c>
      <c r="P343" s="974">
        <v>0.4</v>
      </c>
      <c r="Q343" s="974">
        <v>0.35</v>
      </c>
      <c r="R343" s="974">
        <v>0.45</v>
      </c>
    </row>
    <row r="344" spans="1:18" x14ac:dyDescent="0.35">
      <c r="A344" s="974" t="s">
        <v>1896</v>
      </c>
      <c r="B344" s="974" t="s">
        <v>2019</v>
      </c>
      <c r="C344" s="974">
        <v>10</v>
      </c>
      <c r="D344" s="974">
        <v>-36</v>
      </c>
      <c r="E344" s="974">
        <v>-38</v>
      </c>
      <c r="F344" s="974">
        <v>28</v>
      </c>
      <c r="G344" s="974">
        <v>22</v>
      </c>
      <c r="H344" s="974">
        <v>6800</v>
      </c>
      <c r="I344" s="974">
        <v>18</v>
      </c>
      <c r="J344" s="974">
        <v>81</v>
      </c>
      <c r="K344" s="974">
        <v>500</v>
      </c>
      <c r="L344" s="974">
        <v>0.8</v>
      </c>
      <c r="M344" s="974">
        <v>700</v>
      </c>
      <c r="N344" s="974">
        <v>160</v>
      </c>
      <c r="O344" s="974">
        <v>2.7</v>
      </c>
      <c r="P344" s="974">
        <v>0.3</v>
      </c>
      <c r="Q344" s="974">
        <v>0.26</v>
      </c>
      <c r="R344" s="974">
        <v>0.35</v>
      </c>
    </row>
    <row r="345" spans="1:18" x14ac:dyDescent="0.35">
      <c r="A345" s="974" t="s">
        <v>1896</v>
      </c>
      <c r="B345" s="974" t="s">
        <v>2020</v>
      </c>
      <c r="C345" s="974">
        <v>75</v>
      </c>
      <c r="D345" s="974">
        <v>-23</v>
      </c>
      <c r="E345" s="974">
        <v>-25</v>
      </c>
      <c r="F345" s="974">
        <v>30</v>
      </c>
      <c r="G345" s="974">
        <v>23</v>
      </c>
      <c r="H345" s="974">
        <v>4370</v>
      </c>
      <c r="I345" s="974">
        <v>25</v>
      </c>
      <c r="J345" s="974">
        <v>103</v>
      </c>
      <c r="K345" s="974">
        <v>800</v>
      </c>
      <c r="L345" s="974">
        <v>0.9</v>
      </c>
      <c r="M345" s="974">
        <v>950</v>
      </c>
      <c r="N345" s="974">
        <v>180</v>
      </c>
      <c r="O345" s="974">
        <v>2.2999999999999998</v>
      </c>
      <c r="P345" s="974">
        <v>0.4</v>
      </c>
      <c r="Q345" s="974">
        <v>0.32</v>
      </c>
      <c r="R345" s="974">
        <v>0.41</v>
      </c>
    </row>
    <row r="346" spans="1:18" x14ac:dyDescent="0.35">
      <c r="A346" s="974" t="s">
        <v>1896</v>
      </c>
      <c r="B346" s="974" t="s">
        <v>2021</v>
      </c>
      <c r="C346" s="974">
        <v>420</v>
      </c>
      <c r="D346" s="974">
        <v>-21</v>
      </c>
      <c r="E346" s="974">
        <v>-24</v>
      </c>
      <c r="F346" s="974">
        <v>28</v>
      </c>
      <c r="G346" s="974">
        <v>22</v>
      </c>
      <c r="H346" s="974">
        <v>4700</v>
      </c>
      <c r="I346" s="974">
        <v>28</v>
      </c>
      <c r="J346" s="974">
        <v>103</v>
      </c>
      <c r="K346" s="974">
        <v>740</v>
      </c>
      <c r="L346" s="974">
        <v>0.9</v>
      </c>
      <c r="M346" s="974">
        <v>940</v>
      </c>
      <c r="N346" s="974">
        <v>140</v>
      </c>
      <c r="O346" s="974">
        <v>2.7</v>
      </c>
      <c r="P346" s="974">
        <v>0.4</v>
      </c>
      <c r="Q346" s="974">
        <v>0.32</v>
      </c>
      <c r="R346" s="974">
        <v>0.41</v>
      </c>
    </row>
    <row r="347" spans="1:18" x14ac:dyDescent="0.35">
      <c r="A347" s="974" t="s">
        <v>1896</v>
      </c>
      <c r="B347" s="974" t="s">
        <v>2022</v>
      </c>
      <c r="C347" s="974">
        <v>325</v>
      </c>
      <c r="D347" s="974">
        <v>-36</v>
      </c>
      <c r="E347" s="974">
        <v>-38</v>
      </c>
      <c r="F347" s="974">
        <v>28</v>
      </c>
      <c r="G347" s="974">
        <v>21</v>
      </c>
      <c r="H347" s="974">
        <v>6500</v>
      </c>
      <c r="I347" s="974">
        <v>20</v>
      </c>
      <c r="J347" s="974">
        <v>86</v>
      </c>
      <c r="K347" s="974">
        <v>540</v>
      </c>
      <c r="L347" s="974">
        <v>0.8</v>
      </c>
      <c r="M347" s="974">
        <v>750</v>
      </c>
      <c r="N347" s="974">
        <v>100</v>
      </c>
      <c r="O347" s="974">
        <v>2.8</v>
      </c>
      <c r="P347" s="974">
        <v>0.4</v>
      </c>
      <c r="Q347" s="974">
        <v>0.22</v>
      </c>
      <c r="R347" s="974">
        <v>0.3</v>
      </c>
    </row>
    <row r="348" spans="1:18" x14ac:dyDescent="0.35">
      <c r="A348" s="974" t="s">
        <v>1896</v>
      </c>
      <c r="B348" s="974" t="s">
        <v>2023</v>
      </c>
      <c r="C348" s="974">
        <v>205</v>
      </c>
      <c r="D348" s="974">
        <v>-17</v>
      </c>
      <c r="E348" s="974">
        <v>-18</v>
      </c>
      <c r="F348" s="974">
        <v>30</v>
      </c>
      <c r="G348" s="974">
        <v>23</v>
      </c>
      <c r="H348" s="974">
        <v>3700</v>
      </c>
      <c r="I348" s="974">
        <v>28</v>
      </c>
      <c r="J348" s="974">
        <v>108</v>
      </c>
      <c r="K348" s="974">
        <v>840</v>
      </c>
      <c r="L348" s="974">
        <v>1</v>
      </c>
      <c r="M348" s="974">
        <v>900</v>
      </c>
      <c r="N348" s="974">
        <v>160</v>
      </c>
      <c r="O348" s="974">
        <v>1.4</v>
      </c>
      <c r="P348" s="974">
        <v>0.4</v>
      </c>
      <c r="Q348" s="974">
        <v>0.37</v>
      </c>
      <c r="R348" s="974">
        <v>0.48</v>
      </c>
    </row>
    <row r="349" spans="1:18" x14ac:dyDescent="0.35">
      <c r="A349" s="974" t="s">
        <v>1896</v>
      </c>
      <c r="B349" s="974" t="s">
        <v>2024</v>
      </c>
      <c r="C349" s="974">
        <v>180</v>
      </c>
      <c r="D349" s="974">
        <v>-15</v>
      </c>
      <c r="E349" s="974">
        <v>-17</v>
      </c>
      <c r="F349" s="974">
        <v>30</v>
      </c>
      <c r="G349" s="974">
        <v>24</v>
      </c>
      <c r="H349" s="974">
        <v>3600</v>
      </c>
      <c r="I349" s="974">
        <v>25</v>
      </c>
      <c r="J349" s="974">
        <v>108</v>
      </c>
      <c r="K349" s="974">
        <v>860</v>
      </c>
      <c r="L349" s="974">
        <v>1</v>
      </c>
      <c r="M349" s="974">
        <v>950</v>
      </c>
      <c r="N349" s="974">
        <v>140</v>
      </c>
      <c r="O349" s="974">
        <v>1.2</v>
      </c>
      <c r="P349" s="974">
        <v>0.4</v>
      </c>
      <c r="Q349" s="974">
        <v>0.37</v>
      </c>
      <c r="R349" s="974">
        <v>0.48</v>
      </c>
    </row>
    <row r="350" spans="1:18" x14ac:dyDescent="0.35">
      <c r="A350" s="974" t="s">
        <v>1896</v>
      </c>
      <c r="B350" s="974" t="s">
        <v>2025</v>
      </c>
      <c r="C350" s="974">
        <v>90</v>
      </c>
      <c r="D350" s="974">
        <v>-22</v>
      </c>
      <c r="E350" s="974">
        <v>-24</v>
      </c>
      <c r="F350" s="974">
        <v>29</v>
      </c>
      <c r="G350" s="974">
        <v>23</v>
      </c>
      <c r="H350" s="974">
        <v>4140</v>
      </c>
      <c r="I350" s="974">
        <v>23</v>
      </c>
      <c r="J350" s="974">
        <v>92</v>
      </c>
      <c r="K350" s="974">
        <v>770</v>
      </c>
      <c r="L350" s="974">
        <v>0.9</v>
      </c>
      <c r="M350" s="974">
        <v>900</v>
      </c>
      <c r="N350" s="974">
        <v>160</v>
      </c>
      <c r="O350" s="974">
        <v>1.9</v>
      </c>
      <c r="P350" s="974">
        <v>0.4</v>
      </c>
      <c r="Q350" s="974">
        <v>0.34</v>
      </c>
      <c r="R350" s="974">
        <v>0.43</v>
      </c>
    </row>
    <row r="351" spans="1:18" x14ac:dyDescent="0.35">
      <c r="A351" s="974" t="s">
        <v>1896</v>
      </c>
      <c r="B351" s="974" t="s">
        <v>2026</v>
      </c>
      <c r="C351" s="974">
        <v>115</v>
      </c>
      <c r="D351" s="974">
        <v>-20</v>
      </c>
      <c r="E351" s="974">
        <v>-22</v>
      </c>
      <c r="F351" s="974">
        <v>30</v>
      </c>
      <c r="G351" s="974">
        <v>23</v>
      </c>
      <c r="H351" s="974">
        <v>3990</v>
      </c>
      <c r="I351" s="974">
        <v>23</v>
      </c>
      <c r="J351" s="974">
        <v>86</v>
      </c>
      <c r="K351" s="974">
        <v>760</v>
      </c>
      <c r="L351" s="974">
        <v>0.9</v>
      </c>
      <c r="M351" s="974">
        <v>830</v>
      </c>
      <c r="N351" s="974">
        <v>160</v>
      </c>
      <c r="O351" s="974">
        <v>1.5</v>
      </c>
      <c r="P351" s="974">
        <v>0.4</v>
      </c>
      <c r="Q351" s="974">
        <v>0.37</v>
      </c>
      <c r="R351" s="974">
        <v>0.48</v>
      </c>
    </row>
    <row r="352" spans="1:18" x14ac:dyDescent="0.35">
      <c r="A352" s="974" t="s">
        <v>1896</v>
      </c>
      <c r="B352" s="974" t="s">
        <v>2027</v>
      </c>
      <c r="C352" s="974">
        <v>180</v>
      </c>
      <c r="D352" s="974">
        <v>-32</v>
      </c>
      <c r="E352" s="974">
        <v>-35</v>
      </c>
      <c r="F352" s="974">
        <v>30</v>
      </c>
      <c r="G352" s="974">
        <v>22</v>
      </c>
      <c r="H352" s="974">
        <v>5570</v>
      </c>
      <c r="I352" s="974">
        <v>23</v>
      </c>
      <c r="J352" s="974">
        <v>92</v>
      </c>
      <c r="K352" s="974">
        <v>570</v>
      </c>
      <c r="L352" s="974">
        <v>0.8</v>
      </c>
      <c r="M352" s="974">
        <v>810</v>
      </c>
      <c r="N352" s="974">
        <v>100</v>
      </c>
      <c r="O352" s="974">
        <v>2.6</v>
      </c>
      <c r="P352" s="974">
        <v>0.4</v>
      </c>
      <c r="Q352" s="974">
        <v>0.34</v>
      </c>
      <c r="R352" s="974">
        <v>0.43</v>
      </c>
    </row>
    <row r="353" spans="1:18" x14ac:dyDescent="0.35">
      <c r="A353" s="974" t="s">
        <v>1896</v>
      </c>
      <c r="B353" s="974" t="s">
        <v>2028</v>
      </c>
      <c r="C353" s="974">
        <v>185</v>
      </c>
      <c r="D353" s="974">
        <v>-22</v>
      </c>
      <c r="E353" s="974">
        <v>-24</v>
      </c>
      <c r="F353" s="974">
        <v>30</v>
      </c>
      <c r="G353" s="974">
        <v>23</v>
      </c>
      <c r="H353" s="974">
        <v>4260</v>
      </c>
      <c r="I353" s="974">
        <v>28</v>
      </c>
      <c r="J353" s="974">
        <v>108</v>
      </c>
      <c r="K353" s="974">
        <v>700</v>
      </c>
      <c r="L353" s="974">
        <v>0.8</v>
      </c>
      <c r="M353" s="974">
        <v>800</v>
      </c>
      <c r="N353" s="974">
        <v>140</v>
      </c>
      <c r="O353" s="974">
        <v>2</v>
      </c>
      <c r="P353" s="974">
        <v>0.4</v>
      </c>
      <c r="Q353" s="974">
        <v>0.3</v>
      </c>
      <c r="R353" s="974">
        <v>0.38</v>
      </c>
    </row>
    <row r="354" spans="1:18" x14ac:dyDescent="0.35">
      <c r="A354" s="974" t="s">
        <v>1896</v>
      </c>
      <c r="B354" s="974" t="s">
        <v>2029</v>
      </c>
      <c r="C354" s="974">
        <v>210</v>
      </c>
      <c r="D354" s="974">
        <v>-16</v>
      </c>
      <c r="E354" s="974">
        <v>-18</v>
      </c>
      <c r="F354" s="974">
        <v>30</v>
      </c>
      <c r="G354" s="974">
        <v>23</v>
      </c>
      <c r="H354" s="974">
        <v>3600</v>
      </c>
      <c r="I354" s="974">
        <v>23</v>
      </c>
      <c r="J354" s="974">
        <v>96</v>
      </c>
      <c r="K354" s="974">
        <v>810</v>
      </c>
      <c r="L354" s="974">
        <v>0.9</v>
      </c>
      <c r="M354" s="974">
        <v>950</v>
      </c>
      <c r="N354" s="974">
        <v>160</v>
      </c>
      <c r="O354" s="974">
        <v>1.8</v>
      </c>
      <c r="P354" s="974">
        <v>0.4</v>
      </c>
      <c r="Q354" s="974">
        <v>0.34</v>
      </c>
      <c r="R354" s="974">
        <v>0.43</v>
      </c>
    </row>
    <row r="355" spans="1:18" x14ac:dyDescent="0.35">
      <c r="A355" s="974" t="s">
        <v>1896</v>
      </c>
      <c r="B355" s="974" t="s">
        <v>2030</v>
      </c>
      <c r="C355" s="974">
        <v>210</v>
      </c>
      <c r="D355" s="974">
        <v>-28</v>
      </c>
      <c r="E355" s="974">
        <v>-30</v>
      </c>
      <c r="F355" s="974">
        <v>28</v>
      </c>
      <c r="G355" s="974">
        <v>22</v>
      </c>
      <c r="H355" s="974">
        <v>5150</v>
      </c>
      <c r="I355" s="974">
        <v>25</v>
      </c>
      <c r="J355" s="974">
        <v>95</v>
      </c>
      <c r="K355" s="974">
        <v>775</v>
      </c>
      <c r="L355" s="974">
        <v>0.9</v>
      </c>
      <c r="M355" s="974">
        <v>975</v>
      </c>
      <c r="N355" s="974">
        <v>120</v>
      </c>
      <c r="O355" s="974">
        <v>2.2000000000000002</v>
      </c>
      <c r="P355" s="974">
        <v>0.4</v>
      </c>
      <c r="Q355" s="974">
        <v>0.27</v>
      </c>
      <c r="R355" s="974">
        <v>0.34</v>
      </c>
    </row>
    <row r="356" spans="1:18" x14ac:dyDescent="0.35">
      <c r="A356" s="974" t="s">
        <v>1896</v>
      </c>
      <c r="B356" s="974" t="s">
        <v>2031</v>
      </c>
      <c r="C356" s="974">
        <v>225</v>
      </c>
      <c r="D356" s="974">
        <v>-24</v>
      </c>
      <c r="E356" s="974">
        <v>-26</v>
      </c>
      <c r="F356" s="974">
        <v>30</v>
      </c>
      <c r="G356" s="974">
        <v>23</v>
      </c>
      <c r="H356" s="974">
        <v>4320</v>
      </c>
      <c r="I356" s="974">
        <v>25</v>
      </c>
      <c r="J356" s="974">
        <v>92</v>
      </c>
      <c r="K356" s="974">
        <v>720</v>
      </c>
      <c r="L356" s="974">
        <v>0.8</v>
      </c>
      <c r="M356" s="974">
        <v>850</v>
      </c>
      <c r="N356" s="974">
        <v>120</v>
      </c>
      <c r="O356" s="974">
        <v>2.1</v>
      </c>
      <c r="P356" s="974">
        <v>0.4</v>
      </c>
      <c r="Q356" s="974">
        <v>0.32</v>
      </c>
      <c r="R356" s="974">
        <v>0.41</v>
      </c>
    </row>
    <row r="357" spans="1:18" x14ac:dyDescent="0.35">
      <c r="A357" s="974" t="s">
        <v>1896</v>
      </c>
      <c r="B357" s="974" t="s">
        <v>2032</v>
      </c>
      <c r="C357" s="974">
        <v>90</v>
      </c>
      <c r="D357" s="974">
        <v>-18</v>
      </c>
      <c r="E357" s="974">
        <v>-20</v>
      </c>
      <c r="F357" s="974">
        <v>30</v>
      </c>
      <c r="G357" s="974">
        <v>23</v>
      </c>
      <c r="H357" s="974">
        <v>3760</v>
      </c>
      <c r="I357" s="974">
        <v>23</v>
      </c>
      <c r="J357" s="974">
        <v>97</v>
      </c>
      <c r="K357" s="974">
        <v>750</v>
      </c>
      <c r="L357" s="974">
        <v>0.9</v>
      </c>
      <c r="M357" s="974">
        <v>850</v>
      </c>
      <c r="N357" s="974">
        <v>160</v>
      </c>
      <c r="O357" s="974">
        <v>1.1000000000000001</v>
      </c>
      <c r="P357" s="974">
        <v>0.4</v>
      </c>
      <c r="Q357" s="974">
        <v>0.37</v>
      </c>
      <c r="R357" s="974">
        <v>0.47</v>
      </c>
    </row>
    <row r="358" spans="1:18" x14ac:dyDescent="0.35">
      <c r="A358" s="974" t="s">
        <v>1896</v>
      </c>
      <c r="B358" s="974" t="s">
        <v>2033</v>
      </c>
      <c r="C358" s="974">
        <v>430</v>
      </c>
      <c r="D358" s="974">
        <v>-21</v>
      </c>
      <c r="E358" s="974">
        <v>-23</v>
      </c>
      <c r="F358" s="974">
        <v>29</v>
      </c>
      <c r="G358" s="974">
        <v>23</v>
      </c>
      <c r="H358" s="974">
        <v>4450</v>
      </c>
      <c r="I358" s="974">
        <v>28</v>
      </c>
      <c r="J358" s="974">
        <v>108</v>
      </c>
      <c r="K358" s="974">
        <v>730</v>
      </c>
      <c r="L358" s="974">
        <v>0.8</v>
      </c>
      <c r="M358" s="974">
        <v>875</v>
      </c>
      <c r="N358" s="974">
        <v>140</v>
      </c>
      <c r="O358" s="974">
        <v>2.2999999999999998</v>
      </c>
      <c r="P358" s="974">
        <v>0.4</v>
      </c>
      <c r="Q358" s="974">
        <v>0.28000000000000003</v>
      </c>
      <c r="R358" s="974">
        <v>0.36</v>
      </c>
    </row>
    <row r="359" spans="1:18" x14ac:dyDescent="0.35">
      <c r="A359" s="974" t="s">
        <v>1896</v>
      </c>
      <c r="B359" s="974" t="s">
        <v>2034</v>
      </c>
      <c r="C359" s="974">
        <v>230</v>
      </c>
      <c r="D359" s="974">
        <v>-25</v>
      </c>
      <c r="E359" s="974">
        <v>-27</v>
      </c>
      <c r="F359" s="974">
        <v>29</v>
      </c>
      <c r="G359" s="974">
        <v>23</v>
      </c>
      <c r="H359" s="974">
        <v>4260</v>
      </c>
      <c r="I359" s="974">
        <v>25</v>
      </c>
      <c r="J359" s="974">
        <v>103</v>
      </c>
      <c r="K359" s="974">
        <v>740</v>
      </c>
      <c r="L359" s="974">
        <v>0.9</v>
      </c>
      <c r="M359" s="974">
        <v>1000</v>
      </c>
      <c r="N359" s="974">
        <v>120</v>
      </c>
      <c r="O359" s="974">
        <v>2.4</v>
      </c>
      <c r="P359" s="974">
        <v>0.4</v>
      </c>
      <c r="Q359" s="974">
        <v>0.28000000000000003</v>
      </c>
      <c r="R359" s="974">
        <v>0.36</v>
      </c>
    </row>
    <row r="360" spans="1:18" x14ac:dyDescent="0.35">
      <c r="A360" s="974" t="s">
        <v>1896</v>
      </c>
      <c r="B360" s="974" t="s">
        <v>2035</v>
      </c>
      <c r="C360" s="974">
        <v>110</v>
      </c>
      <c r="D360" s="974">
        <v>-19</v>
      </c>
      <c r="E360" s="974">
        <v>-21</v>
      </c>
      <c r="F360" s="974">
        <v>30</v>
      </c>
      <c r="G360" s="974">
        <v>23</v>
      </c>
      <c r="H360" s="974">
        <v>3860</v>
      </c>
      <c r="I360" s="974">
        <v>23</v>
      </c>
      <c r="J360" s="974">
        <v>86</v>
      </c>
      <c r="K360" s="974">
        <v>760</v>
      </c>
      <c r="L360" s="974">
        <v>0.9</v>
      </c>
      <c r="M360" s="974">
        <v>875</v>
      </c>
      <c r="N360" s="974">
        <v>160</v>
      </c>
      <c r="O360" s="974">
        <v>1.4</v>
      </c>
      <c r="P360" s="974">
        <v>0.4</v>
      </c>
      <c r="Q360" s="974">
        <v>0.37</v>
      </c>
      <c r="R360" s="974">
        <v>0.48</v>
      </c>
    </row>
    <row r="361" spans="1:18" x14ac:dyDescent="0.35">
      <c r="A361" s="974" t="s">
        <v>1896</v>
      </c>
      <c r="B361" s="974" t="s">
        <v>2036</v>
      </c>
      <c r="C361" s="974">
        <v>98</v>
      </c>
      <c r="D361" s="974">
        <v>-25</v>
      </c>
      <c r="E361" s="974">
        <v>-27</v>
      </c>
      <c r="F361" s="974">
        <v>30</v>
      </c>
      <c r="G361" s="974">
        <v>23</v>
      </c>
      <c r="H361" s="974">
        <v>4500</v>
      </c>
      <c r="I361" s="974">
        <v>25</v>
      </c>
      <c r="J361" s="974">
        <v>92</v>
      </c>
      <c r="K361" s="974">
        <v>750</v>
      </c>
      <c r="L361" s="974">
        <v>0.8</v>
      </c>
      <c r="M361" s="974">
        <v>900</v>
      </c>
      <c r="N361" s="974">
        <v>160</v>
      </c>
      <c r="O361" s="974">
        <v>2.4</v>
      </c>
      <c r="P361" s="974">
        <v>0.4</v>
      </c>
      <c r="Q361" s="974">
        <v>0.32</v>
      </c>
      <c r="R361" s="974">
        <v>0.41</v>
      </c>
    </row>
    <row r="362" spans="1:18" x14ac:dyDescent="0.35">
      <c r="A362" s="974" t="s">
        <v>1896</v>
      </c>
      <c r="B362" s="974" t="s">
        <v>2037</v>
      </c>
      <c r="C362" s="974">
        <v>70</v>
      </c>
      <c r="D362" s="974">
        <v>-25</v>
      </c>
      <c r="E362" s="974">
        <v>-27</v>
      </c>
      <c r="F362" s="974">
        <v>30</v>
      </c>
      <c r="G362" s="974">
        <v>23</v>
      </c>
      <c r="H362" s="974">
        <v>4440</v>
      </c>
      <c r="I362" s="974">
        <v>23</v>
      </c>
      <c r="J362" s="974">
        <v>86</v>
      </c>
      <c r="K362" s="974">
        <v>750</v>
      </c>
      <c r="L362" s="974">
        <v>0.8</v>
      </c>
      <c r="M362" s="974">
        <v>900</v>
      </c>
      <c r="N362" s="974">
        <v>160</v>
      </c>
      <c r="O362" s="974">
        <v>2.4</v>
      </c>
      <c r="P362" s="974">
        <v>0.4</v>
      </c>
      <c r="Q362" s="974">
        <v>0.32</v>
      </c>
      <c r="R362" s="974">
        <v>0.41</v>
      </c>
    </row>
    <row r="363" spans="1:18" x14ac:dyDescent="0.35">
      <c r="A363" s="974" t="s">
        <v>1896</v>
      </c>
      <c r="B363" s="974" t="s">
        <v>2038</v>
      </c>
      <c r="C363" s="974">
        <v>98</v>
      </c>
      <c r="D363" s="974">
        <v>-25</v>
      </c>
      <c r="E363" s="974">
        <v>-27</v>
      </c>
      <c r="F363" s="974">
        <v>30</v>
      </c>
      <c r="G363" s="974">
        <v>23</v>
      </c>
      <c r="H363" s="974">
        <v>4520</v>
      </c>
      <c r="I363" s="974">
        <v>25</v>
      </c>
      <c r="J363" s="974">
        <v>92</v>
      </c>
      <c r="K363" s="974">
        <v>730</v>
      </c>
      <c r="L363" s="974">
        <v>0.8</v>
      </c>
      <c r="M363" s="974">
        <v>900</v>
      </c>
      <c r="N363" s="974">
        <v>160</v>
      </c>
      <c r="O363" s="974">
        <v>2.5</v>
      </c>
      <c r="P363" s="974">
        <v>0.4</v>
      </c>
      <c r="Q363" s="974">
        <v>0.32</v>
      </c>
      <c r="R363" s="974">
        <v>0.41</v>
      </c>
    </row>
    <row r="364" spans="1:18" x14ac:dyDescent="0.35">
      <c r="A364" s="974" t="s">
        <v>1896</v>
      </c>
      <c r="B364" s="974" t="s">
        <v>2039</v>
      </c>
      <c r="C364" s="974">
        <v>125</v>
      </c>
      <c r="D364" s="974">
        <v>-25</v>
      </c>
      <c r="E364" s="974">
        <v>-27</v>
      </c>
      <c r="F364" s="974">
        <v>30</v>
      </c>
      <c r="G364" s="974">
        <v>23</v>
      </c>
      <c r="H364" s="974">
        <v>4500</v>
      </c>
      <c r="I364" s="974">
        <v>24</v>
      </c>
      <c r="J364" s="974">
        <v>89</v>
      </c>
      <c r="K364" s="974">
        <v>750</v>
      </c>
      <c r="L364" s="974">
        <v>0.8</v>
      </c>
      <c r="M364" s="974">
        <v>900</v>
      </c>
      <c r="N364" s="974">
        <v>160</v>
      </c>
      <c r="O364" s="974">
        <v>2.4</v>
      </c>
      <c r="P364" s="974">
        <v>0.4</v>
      </c>
      <c r="Q364" s="974">
        <v>0.32</v>
      </c>
      <c r="R364" s="974">
        <v>0.41</v>
      </c>
    </row>
    <row r="365" spans="1:18" x14ac:dyDescent="0.35">
      <c r="A365" s="974" t="s">
        <v>1896</v>
      </c>
      <c r="B365" s="974" t="s">
        <v>2040</v>
      </c>
      <c r="C365" s="974">
        <v>70</v>
      </c>
      <c r="D365" s="974">
        <v>-26</v>
      </c>
      <c r="E365" s="974">
        <v>-28</v>
      </c>
      <c r="F365" s="974">
        <v>30</v>
      </c>
      <c r="G365" s="974">
        <v>23</v>
      </c>
      <c r="H365" s="974">
        <v>4500</v>
      </c>
      <c r="I365" s="974">
        <v>23</v>
      </c>
      <c r="J365" s="974">
        <v>91</v>
      </c>
      <c r="K365" s="974">
        <v>750</v>
      </c>
      <c r="L365" s="974">
        <v>0.8</v>
      </c>
      <c r="M365" s="974">
        <v>900</v>
      </c>
      <c r="N365" s="974">
        <v>160</v>
      </c>
      <c r="O365" s="974">
        <v>2.4</v>
      </c>
      <c r="P365" s="974">
        <v>0.4</v>
      </c>
      <c r="Q365" s="974">
        <v>0.32</v>
      </c>
      <c r="R365" s="974">
        <v>0.41</v>
      </c>
    </row>
    <row r="366" spans="1:18" x14ac:dyDescent="0.35">
      <c r="A366" s="974" t="s">
        <v>1896</v>
      </c>
      <c r="B366" s="974" t="s">
        <v>2041</v>
      </c>
      <c r="C366" s="974">
        <v>215</v>
      </c>
      <c r="D366" s="974">
        <v>-19</v>
      </c>
      <c r="E366" s="974">
        <v>-21</v>
      </c>
      <c r="F366" s="974">
        <v>29</v>
      </c>
      <c r="G366" s="974">
        <v>22</v>
      </c>
      <c r="H366" s="974">
        <v>4030</v>
      </c>
      <c r="I366" s="974">
        <v>28</v>
      </c>
      <c r="J366" s="974">
        <v>113</v>
      </c>
      <c r="K366" s="974">
        <v>760</v>
      </c>
      <c r="L366" s="974">
        <v>0.9</v>
      </c>
      <c r="M366" s="974">
        <v>1075</v>
      </c>
      <c r="N366" s="974">
        <v>160</v>
      </c>
      <c r="O366" s="974">
        <v>2.8</v>
      </c>
      <c r="P366" s="974">
        <v>0.4</v>
      </c>
      <c r="Q366" s="974">
        <v>0.34</v>
      </c>
      <c r="R366" s="974">
        <v>0.44</v>
      </c>
    </row>
    <row r="367" spans="1:18" x14ac:dyDescent="0.35">
      <c r="A367" s="974" t="s">
        <v>1896</v>
      </c>
      <c r="B367" s="974" t="s">
        <v>2042</v>
      </c>
      <c r="C367" s="974">
        <v>185</v>
      </c>
      <c r="D367" s="974">
        <v>-35</v>
      </c>
      <c r="E367" s="974">
        <v>-37</v>
      </c>
      <c r="F367" s="974">
        <v>28</v>
      </c>
      <c r="G367" s="974">
        <v>21</v>
      </c>
      <c r="H367" s="974">
        <v>6500</v>
      </c>
      <c r="I367" s="974">
        <v>20</v>
      </c>
      <c r="J367" s="974">
        <v>86</v>
      </c>
      <c r="K367" s="974">
        <v>540</v>
      </c>
      <c r="L367" s="974">
        <v>0.8</v>
      </c>
      <c r="M367" s="974">
        <v>825</v>
      </c>
      <c r="N367" s="974">
        <v>80</v>
      </c>
      <c r="O367" s="974">
        <v>2.7</v>
      </c>
      <c r="P367" s="974">
        <v>0.4</v>
      </c>
      <c r="Q367" s="974">
        <v>0.22</v>
      </c>
      <c r="R367" s="974">
        <v>0.3</v>
      </c>
    </row>
    <row r="368" spans="1:18" x14ac:dyDescent="0.35">
      <c r="A368" s="974" t="s">
        <v>1896</v>
      </c>
      <c r="B368" s="974" t="s">
        <v>2043</v>
      </c>
      <c r="C368" s="974">
        <v>245</v>
      </c>
      <c r="D368" s="974">
        <v>-18</v>
      </c>
      <c r="E368" s="974">
        <v>-20</v>
      </c>
      <c r="F368" s="974">
        <v>30</v>
      </c>
      <c r="G368" s="974">
        <v>23</v>
      </c>
      <c r="H368" s="974">
        <v>4000</v>
      </c>
      <c r="I368" s="974">
        <v>23</v>
      </c>
      <c r="J368" s="974">
        <v>96</v>
      </c>
      <c r="K368" s="974">
        <v>790</v>
      </c>
      <c r="L368" s="974">
        <v>0.9</v>
      </c>
      <c r="M368" s="974">
        <v>925</v>
      </c>
      <c r="N368" s="974">
        <v>160</v>
      </c>
      <c r="O368" s="974">
        <v>1.4</v>
      </c>
      <c r="P368" s="974">
        <v>0.4</v>
      </c>
      <c r="Q368" s="974">
        <v>0.33</v>
      </c>
      <c r="R368" s="974">
        <v>0.42</v>
      </c>
    </row>
    <row r="369" spans="1:18" x14ac:dyDescent="0.35">
      <c r="A369" s="974" t="s">
        <v>1896</v>
      </c>
      <c r="B369" s="974" t="s">
        <v>2044</v>
      </c>
      <c r="C369" s="974">
        <v>205</v>
      </c>
      <c r="D369" s="974">
        <v>-16</v>
      </c>
      <c r="E369" s="974">
        <v>-18</v>
      </c>
      <c r="F369" s="974">
        <v>31</v>
      </c>
      <c r="G369" s="974">
        <v>23</v>
      </c>
      <c r="H369" s="974">
        <v>3800</v>
      </c>
      <c r="I369" s="974">
        <v>25</v>
      </c>
      <c r="J369" s="974">
        <v>103</v>
      </c>
      <c r="K369" s="974">
        <v>800</v>
      </c>
      <c r="L369" s="974">
        <v>0.9</v>
      </c>
      <c r="M369" s="974">
        <v>925</v>
      </c>
      <c r="N369" s="974">
        <v>180</v>
      </c>
      <c r="O369" s="974">
        <v>2.1</v>
      </c>
      <c r="P369" s="974">
        <v>0.4</v>
      </c>
      <c r="Q369" s="974">
        <v>0.37</v>
      </c>
      <c r="R369" s="974">
        <v>0.48</v>
      </c>
    </row>
    <row r="370" spans="1:18" x14ac:dyDescent="0.35">
      <c r="A370" s="974" t="s">
        <v>1896</v>
      </c>
      <c r="B370" s="974" t="s">
        <v>2045</v>
      </c>
      <c r="C370" s="974">
        <v>215</v>
      </c>
      <c r="D370" s="974">
        <v>-24</v>
      </c>
      <c r="E370" s="974">
        <v>-26</v>
      </c>
      <c r="F370" s="974">
        <v>28</v>
      </c>
      <c r="G370" s="974">
        <v>22</v>
      </c>
      <c r="H370" s="974">
        <v>4640</v>
      </c>
      <c r="I370" s="974">
        <v>23</v>
      </c>
      <c r="J370" s="974">
        <v>97</v>
      </c>
      <c r="K370" s="974">
        <v>820</v>
      </c>
      <c r="L370" s="974">
        <v>1</v>
      </c>
      <c r="M370" s="974">
        <v>1050</v>
      </c>
      <c r="N370" s="974">
        <v>160</v>
      </c>
      <c r="O370" s="974">
        <v>2.8</v>
      </c>
      <c r="P370" s="974">
        <v>0.4</v>
      </c>
      <c r="Q370" s="974">
        <v>0.3</v>
      </c>
      <c r="R370" s="974">
        <v>0.39</v>
      </c>
    </row>
    <row r="371" spans="1:18" x14ac:dyDescent="0.35">
      <c r="A371" s="974" t="s">
        <v>1896</v>
      </c>
      <c r="B371" s="974" t="s">
        <v>2046</v>
      </c>
      <c r="C371" s="974">
        <v>230</v>
      </c>
      <c r="D371" s="974">
        <v>-15</v>
      </c>
      <c r="E371" s="974">
        <v>-17</v>
      </c>
      <c r="F371" s="974">
        <v>30</v>
      </c>
      <c r="G371" s="974">
        <v>23</v>
      </c>
      <c r="H371" s="974">
        <v>3690</v>
      </c>
      <c r="I371" s="974">
        <v>23</v>
      </c>
      <c r="J371" s="974">
        <v>96</v>
      </c>
      <c r="K371" s="974">
        <v>820</v>
      </c>
      <c r="L371" s="974">
        <v>0.9</v>
      </c>
      <c r="M371" s="974">
        <v>950</v>
      </c>
      <c r="N371" s="974">
        <v>160</v>
      </c>
      <c r="O371" s="974">
        <v>2.1</v>
      </c>
      <c r="P371" s="974">
        <v>0.4</v>
      </c>
      <c r="Q371" s="974">
        <v>0.33</v>
      </c>
      <c r="R371" s="974">
        <v>0.42</v>
      </c>
    </row>
    <row r="372" spans="1:18" x14ac:dyDescent="0.35">
      <c r="A372" s="974" t="s">
        <v>1896</v>
      </c>
      <c r="B372" s="974" t="s">
        <v>2047</v>
      </c>
      <c r="C372" s="974">
        <v>125</v>
      </c>
      <c r="D372" s="974">
        <v>-28</v>
      </c>
      <c r="E372" s="974">
        <v>-31</v>
      </c>
      <c r="F372" s="974">
        <v>30</v>
      </c>
      <c r="G372" s="974">
        <v>23</v>
      </c>
      <c r="H372" s="974">
        <v>4980</v>
      </c>
      <c r="I372" s="974">
        <v>23</v>
      </c>
      <c r="J372" s="974">
        <v>105</v>
      </c>
      <c r="K372" s="974">
        <v>640</v>
      </c>
      <c r="L372" s="974">
        <v>0.8</v>
      </c>
      <c r="M372" s="974">
        <v>825</v>
      </c>
      <c r="N372" s="974">
        <v>100</v>
      </c>
      <c r="O372" s="974">
        <v>2.5</v>
      </c>
      <c r="P372" s="974">
        <v>0.4</v>
      </c>
      <c r="Q372" s="974">
        <v>0.27</v>
      </c>
      <c r="R372" s="974">
        <v>0.35</v>
      </c>
    </row>
    <row r="373" spans="1:18" x14ac:dyDescent="0.35">
      <c r="A373" s="974" t="s">
        <v>1896</v>
      </c>
      <c r="B373" s="974" t="s">
        <v>2048</v>
      </c>
      <c r="C373" s="974">
        <v>220</v>
      </c>
      <c r="D373" s="974">
        <v>-24</v>
      </c>
      <c r="E373" s="974">
        <v>-26</v>
      </c>
      <c r="F373" s="974">
        <v>29</v>
      </c>
      <c r="G373" s="974">
        <v>23</v>
      </c>
      <c r="H373" s="974">
        <v>4200</v>
      </c>
      <c r="I373" s="974">
        <v>25</v>
      </c>
      <c r="J373" s="974">
        <v>97</v>
      </c>
      <c r="K373" s="974">
        <v>720</v>
      </c>
      <c r="L373" s="974">
        <v>0.9</v>
      </c>
      <c r="M373" s="974">
        <v>1050</v>
      </c>
      <c r="N373" s="974">
        <v>160</v>
      </c>
      <c r="O373" s="974">
        <v>2.8</v>
      </c>
      <c r="P373" s="974">
        <v>0.4</v>
      </c>
      <c r="Q373" s="974">
        <v>0.3</v>
      </c>
      <c r="R373" s="974">
        <v>0.39</v>
      </c>
    </row>
    <row r="374" spans="1:18" x14ac:dyDescent="0.35">
      <c r="A374" s="974" t="s">
        <v>1896</v>
      </c>
      <c r="B374" s="974" t="s">
        <v>2049</v>
      </c>
      <c r="C374" s="974">
        <v>130</v>
      </c>
      <c r="D374" s="974">
        <v>-25</v>
      </c>
      <c r="E374" s="974">
        <v>-27</v>
      </c>
      <c r="F374" s="974">
        <v>30</v>
      </c>
      <c r="G374" s="974">
        <v>23</v>
      </c>
      <c r="H374" s="974">
        <v>4540</v>
      </c>
      <c r="I374" s="974">
        <v>25</v>
      </c>
      <c r="J374" s="974">
        <v>92</v>
      </c>
      <c r="K374" s="974">
        <v>730</v>
      </c>
      <c r="L374" s="974">
        <v>0.8</v>
      </c>
      <c r="M374" s="974">
        <v>900</v>
      </c>
      <c r="N374" s="974">
        <v>140</v>
      </c>
      <c r="O374" s="974">
        <v>2.2999999999999998</v>
      </c>
      <c r="P374" s="974">
        <v>0.4</v>
      </c>
      <c r="Q374" s="974">
        <v>0.32</v>
      </c>
      <c r="R374" s="974">
        <v>0.41</v>
      </c>
    </row>
    <row r="375" spans="1:18" x14ac:dyDescent="0.35">
      <c r="A375" s="974" t="s">
        <v>1896</v>
      </c>
      <c r="B375" s="974" t="s">
        <v>2050</v>
      </c>
      <c r="C375" s="974">
        <v>135</v>
      </c>
      <c r="D375" s="974">
        <v>-29</v>
      </c>
      <c r="E375" s="974">
        <v>-31</v>
      </c>
      <c r="F375" s="974">
        <v>30</v>
      </c>
      <c r="G375" s="974">
        <v>23</v>
      </c>
      <c r="H375" s="974">
        <v>4980</v>
      </c>
      <c r="I375" s="974">
        <v>23</v>
      </c>
      <c r="J375" s="974">
        <v>92</v>
      </c>
      <c r="K375" s="974">
        <v>640</v>
      </c>
      <c r="L375" s="974">
        <v>0.8</v>
      </c>
      <c r="M375" s="974">
        <v>825</v>
      </c>
      <c r="N375" s="974">
        <v>100</v>
      </c>
      <c r="O375" s="974">
        <v>2.6</v>
      </c>
      <c r="P375" s="974">
        <v>0.4</v>
      </c>
      <c r="Q375" s="974">
        <v>0.27</v>
      </c>
      <c r="R375" s="974">
        <v>0.35</v>
      </c>
    </row>
    <row r="376" spans="1:18" x14ac:dyDescent="0.35">
      <c r="A376" s="974" t="s">
        <v>1896</v>
      </c>
      <c r="B376" s="974" t="s">
        <v>2051</v>
      </c>
      <c r="C376" s="974">
        <v>200</v>
      </c>
      <c r="D376" s="974">
        <v>-23</v>
      </c>
      <c r="E376" s="974">
        <v>-25</v>
      </c>
      <c r="F376" s="974">
        <v>30</v>
      </c>
      <c r="G376" s="974">
        <v>23</v>
      </c>
      <c r="H376" s="974">
        <v>4400</v>
      </c>
      <c r="I376" s="974">
        <v>25</v>
      </c>
      <c r="J376" s="974">
        <v>92</v>
      </c>
      <c r="K376" s="974">
        <v>710</v>
      </c>
      <c r="L376" s="974">
        <v>0.8</v>
      </c>
      <c r="M376" s="974">
        <v>840</v>
      </c>
      <c r="N376" s="974">
        <v>140</v>
      </c>
      <c r="O376" s="974">
        <v>2</v>
      </c>
      <c r="P376" s="974">
        <v>0.4</v>
      </c>
      <c r="Q376" s="974">
        <v>0.32</v>
      </c>
      <c r="R376" s="974">
        <v>0.41</v>
      </c>
    </row>
    <row r="377" spans="1:18" x14ac:dyDescent="0.35">
      <c r="A377" s="974" t="s">
        <v>1896</v>
      </c>
      <c r="B377" s="974" t="s">
        <v>2052</v>
      </c>
      <c r="C377" s="974">
        <v>195</v>
      </c>
      <c r="D377" s="974">
        <v>-16</v>
      </c>
      <c r="E377" s="974">
        <v>-18</v>
      </c>
      <c r="F377" s="974">
        <v>31</v>
      </c>
      <c r="G377" s="974">
        <v>24</v>
      </c>
      <c r="H377" s="974">
        <v>3640</v>
      </c>
      <c r="I377" s="974">
        <v>25</v>
      </c>
      <c r="J377" s="974">
        <v>108</v>
      </c>
      <c r="K377" s="974">
        <v>810</v>
      </c>
      <c r="L377" s="974">
        <v>0.9</v>
      </c>
      <c r="M377" s="974">
        <v>920</v>
      </c>
      <c r="N377" s="974">
        <v>180</v>
      </c>
      <c r="O377" s="974">
        <v>1.3</v>
      </c>
      <c r="P377" s="974">
        <v>0.4</v>
      </c>
      <c r="Q377" s="974">
        <v>0.37</v>
      </c>
      <c r="R377" s="974">
        <v>0.47</v>
      </c>
    </row>
    <row r="378" spans="1:18" x14ac:dyDescent="0.35">
      <c r="A378" s="974" t="s">
        <v>1896</v>
      </c>
      <c r="B378" s="974" t="s">
        <v>2053</v>
      </c>
      <c r="C378" s="974">
        <v>85</v>
      </c>
      <c r="D378" s="974">
        <v>-19</v>
      </c>
      <c r="E378" s="974">
        <v>-21</v>
      </c>
      <c r="F378" s="974">
        <v>30</v>
      </c>
      <c r="G378" s="974">
        <v>23</v>
      </c>
      <c r="H378" s="974">
        <v>3800</v>
      </c>
      <c r="I378" s="974">
        <v>23</v>
      </c>
      <c r="J378" s="974">
        <v>92</v>
      </c>
      <c r="K378" s="974">
        <v>730</v>
      </c>
      <c r="L378" s="974">
        <v>0.9</v>
      </c>
      <c r="M378" s="974">
        <v>825</v>
      </c>
      <c r="N378" s="974">
        <v>140</v>
      </c>
      <c r="O378" s="974">
        <v>1</v>
      </c>
      <c r="P378" s="974">
        <v>0.4</v>
      </c>
      <c r="Q378" s="974">
        <v>0.37</v>
      </c>
      <c r="R378" s="974">
        <v>0.48</v>
      </c>
    </row>
    <row r="379" spans="1:18" x14ac:dyDescent="0.35">
      <c r="A379" s="974" t="s">
        <v>1896</v>
      </c>
      <c r="B379" s="974" t="s">
        <v>2054</v>
      </c>
      <c r="C379" s="974">
        <v>95</v>
      </c>
      <c r="D379" s="974">
        <v>-21</v>
      </c>
      <c r="E379" s="974">
        <v>-23</v>
      </c>
      <c r="F379" s="974">
        <v>29</v>
      </c>
      <c r="G379" s="974">
        <v>23</v>
      </c>
      <c r="H379" s="974">
        <v>3980</v>
      </c>
      <c r="I379" s="974">
        <v>23</v>
      </c>
      <c r="J379" s="974">
        <v>92</v>
      </c>
      <c r="K379" s="974">
        <v>770</v>
      </c>
      <c r="L379" s="974">
        <v>0.9</v>
      </c>
      <c r="M379" s="974">
        <v>940</v>
      </c>
      <c r="N379" s="974">
        <v>160</v>
      </c>
      <c r="O379" s="974">
        <v>2</v>
      </c>
      <c r="P379" s="974">
        <v>0.4</v>
      </c>
      <c r="Q379" s="974">
        <v>0.38</v>
      </c>
      <c r="R379" s="974">
        <v>0.49</v>
      </c>
    </row>
    <row r="380" spans="1:18" x14ac:dyDescent="0.35">
      <c r="A380" s="974" t="s">
        <v>1896</v>
      </c>
      <c r="B380" s="974" t="s">
        <v>2055</v>
      </c>
      <c r="C380" s="974">
        <v>300</v>
      </c>
      <c r="D380" s="974">
        <v>-19</v>
      </c>
      <c r="E380" s="974">
        <v>-21</v>
      </c>
      <c r="F380" s="974">
        <v>29</v>
      </c>
      <c r="G380" s="974">
        <v>23</v>
      </c>
      <c r="H380" s="974">
        <v>4150</v>
      </c>
      <c r="I380" s="974">
        <v>28</v>
      </c>
      <c r="J380" s="974">
        <v>103</v>
      </c>
      <c r="K380" s="974">
        <v>820</v>
      </c>
      <c r="L380" s="974">
        <v>0.9</v>
      </c>
      <c r="M380" s="974">
        <v>950</v>
      </c>
      <c r="N380" s="974">
        <v>140</v>
      </c>
      <c r="O380" s="974">
        <v>1.9</v>
      </c>
      <c r="P380" s="974">
        <v>0.4</v>
      </c>
      <c r="Q380" s="974">
        <v>0.33</v>
      </c>
      <c r="R380" s="974">
        <v>0.42</v>
      </c>
    </row>
    <row r="381" spans="1:18" x14ac:dyDescent="0.35">
      <c r="A381" s="974" t="s">
        <v>1896</v>
      </c>
      <c r="B381" s="974" t="s">
        <v>2056</v>
      </c>
      <c r="C381" s="974">
        <v>150</v>
      </c>
      <c r="D381" s="974">
        <v>-29</v>
      </c>
      <c r="E381" s="974">
        <v>-32</v>
      </c>
      <c r="F381" s="974">
        <v>30</v>
      </c>
      <c r="G381" s="974">
        <v>22</v>
      </c>
      <c r="H381" s="974">
        <v>4960</v>
      </c>
      <c r="I381" s="974">
        <v>23</v>
      </c>
      <c r="J381" s="974">
        <v>92</v>
      </c>
      <c r="K381" s="974">
        <v>650</v>
      </c>
      <c r="L381" s="974">
        <v>0.8</v>
      </c>
      <c r="M381" s="974">
        <v>850</v>
      </c>
      <c r="N381" s="974">
        <v>100</v>
      </c>
      <c r="O381" s="974">
        <v>2.5</v>
      </c>
      <c r="P381" s="974">
        <v>0.4</v>
      </c>
      <c r="Q381" s="974">
        <v>0.27</v>
      </c>
      <c r="R381" s="974">
        <v>0.35</v>
      </c>
    </row>
    <row r="382" spans="1:18" x14ac:dyDescent="0.35">
      <c r="A382" s="974" t="s">
        <v>1896</v>
      </c>
      <c r="B382" s="974" t="s">
        <v>2057</v>
      </c>
      <c r="C382" s="974">
        <v>195</v>
      </c>
      <c r="D382" s="974">
        <v>-15</v>
      </c>
      <c r="E382" s="974">
        <v>-17</v>
      </c>
      <c r="F382" s="974">
        <v>30</v>
      </c>
      <c r="G382" s="974">
        <v>24</v>
      </c>
      <c r="H382" s="974">
        <v>3800</v>
      </c>
      <c r="I382" s="974">
        <v>25</v>
      </c>
      <c r="J382" s="974">
        <v>92</v>
      </c>
      <c r="K382" s="974">
        <v>930</v>
      </c>
      <c r="L382" s="974">
        <v>1.1000000000000001</v>
      </c>
      <c r="M382" s="974">
        <v>1000</v>
      </c>
      <c r="N382" s="974">
        <v>180</v>
      </c>
      <c r="O382" s="974">
        <v>1.2</v>
      </c>
      <c r="P382" s="974">
        <v>0.4</v>
      </c>
      <c r="Q382" s="974">
        <v>0.37</v>
      </c>
      <c r="R382" s="974">
        <v>0.47</v>
      </c>
    </row>
    <row r="383" spans="1:18" x14ac:dyDescent="0.35">
      <c r="A383" s="974" t="s">
        <v>1896</v>
      </c>
      <c r="B383" s="974" t="s">
        <v>2058</v>
      </c>
      <c r="C383" s="974">
        <v>180</v>
      </c>
      <c r="D383" s="974">
        <v>-15</v>
      </c>
      <c r="E383" s="974">
        <v>-17</v>
      </c>
      <c r="F383" s="974">
        <v>30</v>
      </c>
      <c r="G383" s="974">
        <v>24</v>
      </c>
      <c r="H383" s="974">
        <v>3600</v>
      </c>
      <c r="I383" s="974">
        <v>23</v>
      </c>
      <c r="J383" s="974">
        <v>108</v>
      </c>
      <c r="K383" s="974">
        <v>850</v>
      </c>
      <c r="L383" s="974">
        <v>1</v>
      </c>
      <c r="M383" s="974">
        <v>1000</v>
      </c>
      <c r="N383" s="974">
        <v>160</v>
      </c>
      <c r="O383" s="974">
        <v>2.1</v>
      </c>
      <c r="P383" s="974">
        <v>0.4</v>
      </c>
      <c r="Q383" s="974">
        <v>0.36</v>
      </c>
      <c r="R383" s="974">
        <v>0.46</v>
      </c>
    </row>
    <row r="384" spans="1:18" x14ac:dyDescent="0.35">
      <c r="A384" s="974" t="s">
        <v>1896</v>
      </c>
      <c r="B384" s="974" t="s">
        <v>2059</v>
      </c>
      <c r="C384" s="974">
        <v>205</v>
      </c>
      <c r="D384" s="974">
        <v>-17</v>
      </c>
      <c r="E384" s="974">
        <v>-19</v>
      </c>
      <c r="F384" s="974">
        <v>28</v>
      </c>
      <c r="G384" s="974">
        <v>22</v>
      </c>
      <c r="H384" s="974">
        <v>4100</v>
      </c>
      <c r="I384" s="974">
        <v>25</v>
      </c>
      <c r="J384" s="974">
        <v>92</v>
      </c>
      <c r="K384" s="974">
        <v>790</v>
      </c>
      <c r="L384" s="974">
        <v>0.9</v>
      </c>
      <c r="M384" s="974">
        <v>850</v>
      </c>
      <c r="N384" s="974">
        <v>180</v>
      </c>
      <c r="O384" s="974">
        <v>2.8</v>
      </c>
      <c r="P384" s="974">
        <v>0.4</v>
      </c>
      <c r="Q384" s="974">
        <v>0.37</v>
      </c>
      <c r="R384" s="974">
        <v>0.48</v>
      </c>
    </row>
    <row r="385" spans="1:18" x14ac:dyDescent="0.35">
      <c r="A385" s="974" t="s">
        <v>1896</v>
      </c>
      <c r="B385" s="974" t="s">
        <v>2060</v>
      </c>
      <c r="C385" s="974">
        <v>100</v>
      </c>
      <c r="D385" s="974">
        <v>-21</v>
      </c>
      <c r="E385" s="974">
        <v>-23</v>
      </c>
      <c r="F385" s="974">
        <v>29</v>
      </c>
      <c r="G385" s="974">
        <v>23</v>
      </c>
      <c r="H385" s="974">
        <v>3970</v>
      </c>
      <c r="I385" s="974">
        <v>23</v>
      </c>
      <c r="J385" s="974">
        <v>94</v>
      </c>
      <c r="K385" s="974">
        <v>760</v>
      </c>
      <c r="L385" s="974">
        <v>0.9</v>
      </c>
      <c r="M385" s="974">
        <v>825</v>
      </c>
      <c r="N385" s="974">
        <v>180</v>
      </c>
      <c r="O385" s="974">
        <v>1.2</v>
      </c>
      <c r="P385" s="974">
        <v>0.4</v>
      </c>
      <c r="Q385" s="974">
        <v>0.37</v>
      </c>
      <c r="R385" s="974">
        <v>0.48</v>
      </c>
    </row>
    <row r="386" spans="1:18" x14ac:dyDescent="0.35">
      <c r="A386" s="974" t="s">
        <v>1896</v>
      </c>
      <c r="B386" s="974" t="s">
        <v>2061</v>
      </c>
      <c r="C386" s="974">
        <v>270</v>
      </c>
      <c r="D386" s="974">
        <v>-22</v>
      </c>
      <c r="E386" s="974">
        <v>-24</v>
      </c>
      <c r="F386" s="974">
        <v>30</v>
      </c>
      <c r="G386" s="974">
        <v>23</v>
      </c>
      <c r="H386" s="974">
        <v>4260</v>
      </c>
      <c r="I386" s="974">
        <v>25</v>
      </c>
      <c r="J386" s="974">
        <v>97</v>
      </c>
      <c r="K386" s="974">
        <v>720</v>
      </c>
      <c r="L386" s="974">
        <v>0.8</v>
      </c>
      <c r="M386" s="974">
        <v>850</v>
      </c>
      <c r="N386" s="974">
        <v>140</v>
      </c>
      <c r="O386" s="974">
        <v>2.4</v>
      </c>
      <c r="P386" s="974">
        <v>0.4</v>
      </c>
      <c r="Q386" s="974">
        <v>0.34</v>
      </c>
      <c r="R386" s="974">
        <v>0.44</v>
      </c>
    </row>
    <row r="387" spans="1:18" x14ac:dyDescent="0.35">
      <c r="A387" s="974" t="s">
        <v>1896</v>
      </c>
      <c r="B387" s="974" t="s">
        <v>2062</v>
      </c>
      <c r="C387" s="974">
        <v>180</v>
      </c>
      <c r="D387" s="974">
        <v>-15</v>
      </c>
      <c r="E387" s="974">
        <v>-17</v>
      </c>
      <c r="F387" s="974">
        <v>31</v>
      </c>
      <c r="G387" s="974">
        <v>24</v>
      </c>
      <c r="H387" s="974">
        <v>3850</v>
      </c>
      <c r="I387" s="974">
        <v>25</v>
      </c>
      <c r="J387" s="974">
        <v>92</v>
      </c>
      <c r="K387" s="974">
        <v>940</v>
      </c>
      <c r="L387" s="974">
        <v>1.1000000000000001</v>
      </c>
      <c r="M387" s="974">
        <v>975</v>
      </c>
      <c r="N387" s="974">
        <v>180</v>
      </c>
      <c r="O387" s="974">
        <v>1.2</v>
      </c>
      <c r="P387" s="974">
        <v>0.4</v>
      </c>
      <c r="Q387" s="974">
        <v>0.37</v>
      </c>
      <c r="R387" s="974">
        <v>0.47</v>
      </c>
    </row>
    <row r="388" spans="1:18" x14ac:dyDescent="0.35">
      <c r="A388" s="974" t="s">
        <v>1896</v>
      </c>
      <c r="B388" s="974" t="s">
        <v>2063</v>
      </c>
      <c r="C388" s="974">
        <v>90</v>
      </c>
      <c r="D388" s="974">
        <v>-23</v>
      </c>
      <c r="E388" s="974">
        <v>-25</v>
      </c>
      <c r="F388" s="974">
        <v>29</v>
      </c>
      <c r="G388" s="974">
        <v>23</v>
      </c>
      <c r="H388" s="974">
        <v>4120</v>
      </c>
      <c r="I388" s="974">
        <v>25</v>
      </c>
      <c r="J388" s="974">
        <v>103</v>
      </c>
      <c r="K388" s="974">
        <v>770</v>
      </c>
      <c r="L388" s="974">
        <v>0.9</v>
      </c>
      <c r="M388" s="974">
        <v>975</v>
      </c>
      <c r="N388" s="974">
        <v>180</v>
      </c>
      <c r="O388" s="974">
        <v>2.2000000000000002</v>
      </c>
      <c r="P388" s="974">
        <v>0.4</v>
      </c>
      <c r="Q388" s="974">
        <v>0.34</v>
      </c>
      <c r="R388" s="974">
        <v>0.44</v>
      </c>
    </row>
    <row r="389" spans="1:18" x14ac:dyDescent="0.35">
      <c r="A389" s="974" t="s">
        <v>1896</v>
      </c>
      <c r="B389" s="974" t="s">
        <v>1749</v>
      </c>
      <c r="C389" s="974">
        <v>280</v>
      </c>
      <c r="D389" s="974">
        <v>-18</v>
      </c>
      <c r="E389" s="974">
        <v>-20</v>
      </c>
      <c r="F389" s="974">
        <v>30</v>
      </c>
      <c r="G389" s="974">
        <v>23</v>
      </c>
      <c r="H389" s="974">
        <v>4000</v>
      </c>
      <c r="I389" s="974">
        <v>25</v>
      </c>
      <c r="J389" s="974">
        <v>97</v>
      </c>
      <c r="K389" s="974">
        <v>810</v>
      </c>
      <c r="L389" s="974">
        <v>0.9</v>
      </c>
      <c r="M389" s="974">
        <v>925</v>
      </c>
      <c r="N389" s="974">
        <v>160</v>
      </c>
      <c r="O389" s="974">
        <v>1.5</v>
      </c>
      <c r="P389" s="974">
        <v>0.4</v>
      </c>
      <c r="Q389" s="974">
        <v>0.33</v>
      </c>
      <c r="R389" s="974">
        <v>0.42</v>
      </c>
    </row>
    <row r="390" spans="1:18" x14ac:dyDescent="0.35">
      <c r="A390" s="974" t="s">
        <v>1896</v>
      </c>
      <c r="B390" s="974" t="s">
        <v>2064</v>
      </c>
      <c r="C390" s="974">
        <v>475</v>
      </c>
      <c r="D390" s="974">
        <v>-34</v>
      </c>
      <c r="E390" s="974">
        <v>-37</v>
      </c>
      <c r="F390" s="974">
        <v>28</v>
      </c>
      <c r="G390" s="974">
        <v>22</v>
      </c>
      <c r="H390" s="974">
        <v>5900</v>
      </c>
      <c r="I390" s="974">
        <v>23</v>
      </c>
      <c r="J390" s="974">
        <v>97</v>
      </c>
      <c r="K390" s="974">
        <v>570</v>
      </c>
      <c r="L390" s="974">
        <v>0.8</v>
      </c>
      <c r="M390" s="974">
        <v>750</v>
      </c>
      <c r="N390" s="974">
        <v>120</v>
      </c>
      <c r="O390" s="974">
        <v>2.7</v>
      </c>
      <c r="P390" s="974">
        <v>0.4</v>
      </c>
      <c r="Q390" s="974">
        <v>0.22</v>
      </c>
      <c r="R390" s="974">
        <v>0.3</v>
      </c>
    </row>
    <row r="391" spans="1:18" x14ac:dyDescent="0.35">
      <c r="A391" s="974" t="s">
        <v>1896</v>
      </c>
      <c r="B391" s="974" t="s">
        <v>2065</v>
      </c>
      <c r="C391" s="974">
        <v>270</v>
      </c>
      <c r="D391" s="974">
        <v>-28</v>
      </c>
      <c r="E391" s="974">
        <v>-30</v>
      </c>
      <c r="F391" s="974">
        <v>29</v>
      </c>
      <c r="G391" s="974">
        <v>21</v>
      </c>
      <c r="H391" s="974">
        <v>5200</v>
      </c>
      <c r="I391" s="974">
        <v>25</v>
      </c>
      <c r="J391" s="974">
        <v>92</v>
      </c>
      <c r="K391" s="974">
        <v>650</v>
      </c>
      <c r="L391" s="974">
        <v>0.8</v>
      </c>
      <c r="M391" s="974">
        <v>850</v>
      </c>
      <c r="N391" s="974">
        <v>180</v>
      </c>
      <c r="O391" s="974">
        <v>2.5</v>
      </c>
      <c r="P391" s="974">
        <v>0.4</v>
      </c>
      <c r="Q391" s="974">
        <v>0.35</v>
      </c>
      <c r="R391" s="974">
        <v>0.45</v>
      </c>
    </row>
    <row r="392" spans="1:18" x14ac:dyDescent="0.35">
      <c r="A392" s="974" t="s">
        <v>1896</v>
      </c>
      <c r="B392" s="974" t="s">
        <v>2066</v>
      </c>
      <c r="C392" s="974">
        <v>360</v>
      </c>
      <c r="D392" s="974">
        <v>-35</v>
      </c>
      <c r="E392" s="974">
        <v>-37</v>
      </c>
      <c r="F392" s="974">
        <v>28</v>
      </c>
      <c r="G392" s="974">
        <v>21</v>
      </c>
      <c r="H392" s="974">
        <v>6220</v>
      </c>
      <c r="I392" s="974">
        <v>20</v>
      </c>
      <c r="J392" s="974">
        <v>92</v>
      </c>
      <c r="K392" s="974">
        <v>470</v>
      </c>
      <c r="L392" s="974">
        <v>0.7</v>
      </c>
      <c r="M392" s="974">
        <v>630</v>
      </c>
      <c r="N392" s="974">
        <v>120</v>
      </c>
      <c r="O392" s="974">
        <v>2.6</v>
      </c>
      <c r="P392" s="974">
        <v>0.3</v>
      </c>
      <c r="Q392" s="974">
        <v>0.22</v>
      </c>
      <c r="R392" s="974">
        <v>0.3</v>
      </c>
    </row>
    <row r="393" spans="1:18" x14ac:dyDescent="0.35">
      <c r="A393" s="974" t="s">
        <v>1896</v>
      </c>
      <c r="B393" s="974" t="s">
        <v>2067</v>
      </c>
      <c r="C393" s="974">
        <v>115</v>
      </c>
      <c r="D393" s="974">
        <v>-27</v>
      </c>
      <c r="E393" s="974">
        <v>-30</v>
      </c>
      <c r="F393" s="974">
        <v>30</v>
      </c>
      <c r="G393" s="974">
        <v>23</v>
      </c>
      <c r="H393" s="974">
        <v>4900</v>
      </c>
      <c r="I393" s="974">
        <v>23</v>
      </c>
      <c r="J393" s="974">
        <v>97</v>
      </c>
      <c r="K393" s="974">
        <v>620</v>
      </c>
      <c r="L393" s="974">
        <v>0.8</v>
      </c>
      <c r="M393" s="974">
        <v>810</v>
      </c>
      <c r="N393" s="974">
        <v>140</v>
      </c>
      <c r="O393" s="974">
        <v>2.5</v>
      </c>
      <c r="P393" s="974">
        <v>0.4</v>
      </c>
      <c r="Q393" s="974">
        <v>0.27</v>
      </c>
      <c r="R393" s="974">
        <v>0.35</v>
      </c>
    </row>
    <row r="394" spans="1:18" x14ac:dyDescent="0.35">
      <c r="A394" s="974" t="s">
        <v>1896</v>
      </c>
      <c r="B394" s="974" t="s">
        <v>2068</v>
      </c>
      <c r="C394" s="974">
        <v>230</v>
      </c>
      <c r="D394" s="974">
        <v>-21</v>
      </c>
      <c r="E394" s="974">
        <v>-23</v>
      </c>
      <c r="F394" s="974">
        <v>31</v>
      </c>
      <c r="G394" s="974">
        <v>24</v>
      </c>
      <c r="H394" s="974">
        <v>4000</v>
      </c>
      <c r="I394" s="974">
        <v>25</v>
      </c>
      <c r="J394" s="974">
        <v>97</v>
      </c>
      <c r="K394" s="974">
        <v>740</v>
      </c>
      <c r="L394" s="974">
        <v>0.8</v>
      </c>
      <c r="M394" s="974">
        <v>850</v>
      </c>
      <c r="N394" s="974">
        <v>140</v>
      </c>
      <c r="O394" s="974">
        <v>1.5</v>
      </c>
      <c r="P394" s="974">
        <v>0.4</v>
      </c>
      <c r="Q394" s="974">
        <v>0.34</v>
      </c>
      <c r="R394" s="974">
        <v>0.44</v>
      </c>
    </row>
    <row r="395" spans="1:18" x14ac:dyDescent="0.35">
      <c r="A395" s="974" t="s">
        <v>1896</v>
      </c>
      <c r="B395" s="974" t="s">
        <v>2069</v>
      </c>
      <c r="C395" s="974">
        <v>50</v>
      </c>
      <c r="D395" s="974">
        <v>-26</v>
      </c>
      <c r="E395" s="974">
        <v>-28</v>
      </c>
      <c r="F395" s="974">
        <v>30</v>
      </c>
      <c r="G395" s="974">
        <v>23</v>
      </c>
      <c r="H395" s="974">
        <v>4600</v>
      </c>
      <c r="I395" s="974">
        <v>23</v>
      </c>
      <c r="J395" s="974">
        <v>92</v>
      </c>
      <c r="K395" s="974">
        <v>780</v>
      </c>
      <c r="L395" s="974">
        <v>0.9</v>
      </c>
      <c r="M395" s="974">
        <v>950</v>
      </c>
      <c r="N395" s="974">
        <v>160</v>
      </c>
      <c r="O395" s="974">
        <v>2.4</v>
      </c>
      <c r="P395" s="974">
        <v>0.4</v>
      </c>
      <c r="Q395" s="974">
        <v>0.31</v>
      </c>
      <c r="R395" s="974">
        <v>0.4</v>
      </c>
    </row>
    <row r="396" spans="1:18" x14ac:dyDescent="0.35">
      <c r="A396" s="974" t="s">
        <v>1896</v>
      </c>
      <c r="B396" s="974" t="s">
        <v>2070</v>
      </c>
      <c r="C396" s="974">
        <v>190</v>
      </c>
      <c r="D396" s="974">
        <v>-16</v>
      </c>
      <c r="E396" s="974">
        <v>-18</v>
      </c>
      <c r="F396" s="974">
        <v>31</v>
      </c>
      <c r="G396" s="974">
        <v>24</v>
      </c>
      <c r="H396" s="974">
        <v>3750</v>
      </c>
      <c r="I396" s="974">
        <v>25</v>
      </c>
      <c r="J396" s="974">
        <v>100</v>
      </c>
      <c r="K396" s="974">
        <v>750</v>
      </c>
      <c r="L396" s="974">
        <v>0.9</v>
      </c>
      <c r="M396" s="974">
        <v>825</v>
      </c>
      <c r="N396" s="974">
        <v>180</v>
      </c>
      <c r="O396" s="974">
        <v>1.1000000000000001</v>
      </c>
      <c r="P396" s="974">
        <v>0.4</v>
      </c>
      <c r="Q396" s="974">
        <v>0.37</v>
      </c>
      <c r="R396" s="974">
        <v>0.47</v>
      </c>
    </row>
    <row r="397" spans="1:18" x14ac:dyDescent="0.35">
      <c r="A397" s="974" t="s">
        <v>1896</v>
      </c>
      <c r="B397" s="974" t="s">
        <v>2071</v>
      </c>
      <c r="C397" s="974">
        <v>190</v>
      </c>
      <c r="D397" s="974">
        <v>-25</v>
      </c>
      <c r="E397" s="974">
        <v>-28</v>
      </c>
      <c r="F397" s="974">
        <v>29</v>
      </c>
      <c r="G397" s="974">
        <v>22</v>
      </c>
      <c r="H397" s="974">
        <v>4960</v>
      </c>
      <c r="I397" s="974">
        <v>23</v>
      </c>
      <c r="J397" s="974">
        <v>97</v>
      </c>
      <c r="K397" s="974">
        <v>660</v>
      </c>
      <c r="L397" s="974">
        <v>0.9</v>
      </c>
      <c r="M397" s="974">
        <v>950</v>
      </c>
      <c r="N397" s="974">
        <v>200</v>
      </c>
      <c r="O397" s="974">
        <v>3.1</v>
      </c>
      <c r="P397" s="974">
        <v>0.4</v>
      </c>
      <c r="Q397" s="974">
        <v>0.33</v>
      </c>
      <c r="R397" s="974">
        <v>0.44</v>
      </c>
    </row>
    <row r="398" spans="1:18" x14ac:dyDescent="0.35">
      <c r="A398" s="974" t="s">
        <v>1896</v>
      </c>
      <c r="B398" s="974" t="s">
        <v>2072</v>
      </c>
      <c r="C398" s="974">
        <v>310</v>
      </c>
      <c r="D398" s="974">
        <v>-34</v>
      </c>
      <c r="E398" s="974">
        <v>-36</v>
      </c>
      <c r="F398" s="974">
        <v>27</v>
      </c>
      <c r="G398" s="974">
        <v>21</v>
      </c>
      <c r="H398" s="974">
        <v>5960</v>
      </c>
      <c r="I398" s="974">
        <v>20</v>
      </c>
      <c r="J398" s="974">
        <v>103</v>
      </c>
      <c r="K398" s="974">
        <v>600</v>
      </c>
      <c r="L398" s="974">
        <v>0.8</v>
      </c>
      <c r="M398" s="974">
        <v>850</v>
      </c>
      <c r="N398" s="974">
        <v>160</v>
      </c>
      <c r="O398" s="974">
        <v>3.3</v>
      </c>
      <c r="P398" s="974">
        <v>0.4</v>
      </c>
      <c r="Q398" s="974">
        <v>0.28999999999999998</v>
      </c>
      <c r="R398" s="974">
        <v>0.39</v>
      </c>
    </row>
    <row r="399" spans="1:18" x14ac:dyDescent="0.35">
      <c r="A399" s="974" t="s">
        <v>1896</v>
      </c>
      <c r="B399" s="974" t="s">
        <v>2073</v>
      </c>
      <c r="C399" s="974">
        <v>310</v>
      </c>
      <c r="D399" s="974">
        <v>-17</v>
      </c>
      <c r="E399" s="974">
        <v>-19</v>
      </c>
      <c r="F399" s="974">
        <v>30</v>
      </c>
      <c r="G399" s="974">
        <v>23</v>
      </c>
      <c r="H399" s="974">
        <v>4100</v>
      </c>
      <c r="I399" s="974">
        <v>25</v>
      </c>
      <c r="J399" s="974">
        <v>108</v>
      </c>
      <c r="K399" s="974">
        <v>810</v>
      </c>
      <c r="L399" s="974">
        <v>0.9</v>
      </c>
      <c r="M399" s="974">
        <v>1025</v>
      </c>
      <c r="N399" s="974">
        <v>160</v>
      </c>
      <c r="O399" s="974">
        <v>2.5</v>
      </c>
      <c r="P399" s="974">
        <v>0.4</v>
      </c>
      <c r="Q399" s="974">
        <v>0.35</v>
      </c>
      <c r="R399" s="974">
        <v>0.45</v>
      </c>
    </row>
    <row r="400" spans="1:18" x14ac:dyDescent="0.35">
      <c r="A400" s="974" t="s">
        <v>1896</v>
      </c>
      <c r="B400" s="974" t="s">
        <v>2074</v>
      </c>
      <c r="C400" s="974">
        <v>495</v>
      </c>
      <c r="D400" s="974">
        <v>-22</v>
      </c>
      <c r="E400" s="974">
        <v>-24</v>
      </c>
      <c r="F400" s="974">
        <v>29</v>
      </c>
      <c r="G400" s="974">
        <v>23</v>
      </c>
      <c r="H400" s="974">
        <v>4700</v>
      </c>
      <c r="I400" s="974">
        <v>28</v>
      </c>
      <c r="J400" s="974">
        <v>108</v>
      </c>
      <c r="K400" s="974">
        <v>740</v>
      </c>
      <c r="L400" s="974">
        <v>0.9</v>
      </c>
      <c r="M400" s="974">
        <v>900</v>
      </c>
      <c r="N400" s="974">
        <v>150</v>
      </c>
      <c r="O400" s="974">
        <v>3.1</v>
      </c>
      <c r="P400" s="974">
        <v>0.4</v>
      </c>
      <c r="Q400" s="974">
        <v>0.31</v>
      </c>
      <c r="R400" s="974">
        <v>0.4</v>
      </c>
    </row>
    <row r="401" spans="1:18" x14ac:dyDescent="0.35">
      <c r="A401" s="974" t="s">
        <v>1896</v>
      </c>
      <c r="B401" s="974" t="s">
        <v>2075</v>
      </c>
      <c r="C401" s="974">
        <v>210</v>
      </c>
      <c r="D401" s="974">
        <v>-17</v>
      </c>
      <c r="E401" s="974">
        <v>-19</v>
      </c>
      <c r="F401" s="974">
        <v>30</v>
      </c>
      <c r="G401" s="974">
        <v>24</v>
      </c>
      <c r="H401" s="974">
        <v>3700</v>
      </c>
      <c r="I401" s="974">
        <v>28</v>
      </c>
      <c r="J401" s="974">
        <v>113</v>
      </c>
      <c r="K401" s="974">
        <v>860</v>
      </c>
      <c r="L401" s="974">
        <v>1</v>
      </c>
      <c r="M401" s="974">
        <v>950</v>
      </c>
      <c r="N401" s="974">
        <v>160</v>
      </c>
      <c r="O401" s="974">
        <v>1.3</v>
      </c>
      <c r="P401" s="974">
        <v>0.4</v>
      </c>
      <c r="Q401" s="974">
        <v>0.35</v>
      </c>
      <c r="R401" s="974">
        <v>0.45</v>
      </c>
    </row>
    <row r="402" spans="1:18" x14ac:dyDescent="0.35">
      <c r="A402" s="974" t="s">
        <v>1896</v>
      </c>
      <c r="B402" s="974" t="s">
        <v>2076</v>
      </c>
      <c r="C402" s="974">
        <v>375</v>
      </c>
      <c r="D402" s="974">
        <v>-34</v>
      </c>
      <c r="E402" s="974">
        <v>-36</v>
      </c>
      <c r="F402" s="974">
        <v>28</v>
      </c>
      <c r="G402" s="974">
        <v>22</v>
      </c>
      <c r="H402" s="974">
        <v>5950</v>
      </c>
      <c r="I402" s="974">
        <v>25</v>
      </c>
      <c r="J402" s="974">
        <v>97</v>
      </c>
      <c r="K402" s="974">
        <v>520</v>
      </c>
      <c r="L402" s="974">
        <v>0.7</v>
      </c>
      <c r="M402" s="974">
        <v>710</v>
      </c>
      <c r="N402" s="974">
        <v>100</v>
      </c>
      <c r="O402" s="974">
        <v>2.6</v>
      </c>
      <c r="P402" s="974">
        <v>0.3</v>
      </c>
      <c r="Q402" s="974">
        <v>0.22</v>
      </c>
      <c r="R402" s="974">
        <v>0.3</v>
      </c>
    </row>
    <row r="403" spans="1:18" x14ac:dyDescent="0.35">
      <c r="A403" s="974" t="s">
        <v>1896</v>
      </c>
      <c r="B403" s="974" t="s">
        <v>2077</v>
      </c>
      <c r="C403" s="974">
        <v>130</v>
      </c>
      <c r="D403" s="974">
        <v>-25</v>
      </c>
      <c r="E403" s="974">
        <v>-27</v>
      </c>
      <c r="F403" s="974">
        <v>30</v>
      </c>
      <c r="G403" s="974">
        <v>23</v>
      </c>
      <c r="H403" s="974">
        <v>4540</v>
      </c>
      <c r="I403" s="974">
        <v>25</v>
      </c>
      <c r="J403" s="974">
        <v>92</v>
      </c>
      <c r="K403" s="974">
        <v>730</v>
      </c>
      <c r="L403" s="974">
        <v>0.8</v>
      </c>
      <c r="M403" s="974">
        <v>850</v>
      </c>
      <c r="N403" s="974">
        <v>140</v>
      </c>
      <c r="O403" s="974">
        <v>2.2999999999999998</v>
      </c>
      <c r="P403" s="974">
        <v>0.4</v>
      </c>
      <c r="Q403" s="974">
        <v>0.32</v>
      </c>
      <c r="R403" s="974">
        <v>0.41</v>
      </c>
    </row>
    <row r="404" spans="1:18" x14ac:dyDescent="0.35">
      <c r="A404" s="974" t="s">
        <v>1896</v>
      </c>
      <c r="B404" s="974" t="s">
        <v>2078</v>
      </c>
      <c r="C404" s="974">
        <v>185</v>
      </c>
      <c r="D404" s="974">
        <v>-16</v>
      </c>
      <c r="E404" s="974">
        <v>-18</v>
      </c>
      <c r="F404" s="974">
        <v>30</v>
      </c>
      <c r="G404" s="974">
        <v>23</v>
      </c>
      <c r="H404" s="974">
        <v>3650</v>
      </c>
      <c r="I404" s="974">
        <v>23</v>
      </c>
      <c r="J404" s="974">
        <v>108</v>
      </c>
      <c r="K404" s="974">
        <v>800</v>
      </c>
      <c r="L404" s="974">
        <v>0.9</v>
      </c>
      <c r="M404" s="974">
        <v>900</v>
      </c>
      <c r="N404" s="974">
        <v>160</v>
      </c>
      <c r="O404" s="974">
        <v>1.5</v>
      </c>
      <c r="P404" s="974">
        <v>0.4</v>
      </c>
      <c r="Q404" s="974">
        <v>0.33</v>
      </c>
      <c r="R404" s="974">
        <v>0.42</v>
      </c>
    </row>
    <row r="405" spans="1:18" x14ac:dyDescent="0.35">
      <c r="A405" s="974" t="s">
        <v>1896</v>
      </c>
      <c r="B405" s="974" t="s">
        <v>2079</v>
      </c>
      <c r="C405" s="974">
        <v>235</v>
      </c>
      <c r="D405" s="974">
        <v>-34</v>
      </c>
      <c r="E405" s="974">
        <v>-36</v>
      </c>
      <c r="F405" s="974">
        <v>29</v>
      </c>
      <c r="G405" s="974">
        <v>21</v>
      </c>
      <c r="H405" s="974">
        <v>6250</v>
      </c>
      <c r="I405" s="974">
        <v>20</v>
      </c>
      <c r="J405" s="974">
        <v>92</v>
      </c>
      <c r="K405" s="974">
        <v>560</v>
      </c>
      <c r="L405" s="974">
        <v>0.8</v>
      </c>
      <c r="M405" s="974">
        <v>850</v>
      </c>
      <c r="N405" s="974">
        <v>80</v>
      </c>
      <c r="O405" s="974">
        <v>2.7</v>
      </c>
      <c r="P405" s="974">
        <v>0.3</v>
      </c>
      <c r="Q405" s="974">
        <v>0.25</v>
      </c>
      <c r="R405" s="974">
        <v>0.32</v>
      </c>
    </row>
    <row r="406" spans="1:18" x14ac:dyDescent="0.35">
      <c r="A406" s="974" t="s">
        <v>1896</v>
      </c>
      <c r="B406" s="974" t="s">
        <v>2080</v>
      </c>
      <c r="C406" s="974">
        <v>180</v>
      </c>
      <c r="D406" s="974">
        <v>-17</v>
      </c>
      <c r="E406" s="974">
        <v>-19</v>
      </c>
      <c r="F406" s="974">
        <v>28</v>
      </c>
      <c r="G406" s="974">
        <v>22</v>
      </c>
      <c r="H406" s="974">
        <v>4100</v>
      </c>
      <c r="I406" s="974">
        <v>25</v>
      </c>
      <c r="J406" s="974">
        <v>92</v>
      </c>
      <c r="K406" s="974">
        <v>800</v>
      </c>
      <c r="L406" s="974">
        <v>1</v>
      </c>
      <c r="M406" s="974">
        <v>830</v>
      </c>
      <c r="N406" s="974">
        <v>180</v>
      </c>
      <c r="O406" s="974">
        <v>2.7</v>
      </c>
      <c r="P406" s="974">
        <v>0.4</v>
      </c>
      <c r="Q406" s="974">
        <v>0.37</v>
      </c>
      <c r="R406" s="974">
        <v>0.48</v>
      </c>
    </row>
    <row r="407" spans="1:18" x14ac:dyDescent="0.35">
      <c r="A407" s="974" t="s">
        <v>1896</v>
      </c>
      <c r="B407" s="974" t="s">
        <v>2081</v>
      </c>
      <c r="C407" s="974">
        <v>355</v>
      </c>
      <c r="D407" s="974">
        <v>-27</v>
      </c>
      <c r="E407" s="974">
        <v>-29</v>
      </c>
      <c r="F407" s="974">
        <v>29</v>
      </c>
      <c r="G407" s="974">
        <v>22</v>
      </c>
      <c r="H407" s="974">
        <v>5090</v>
      </c>
      <c r="I407" s="974">
        <v>25</v>
      </c>
      <c r="J407" s="974">
        <v>103</v>
      </c>
      <c r="K407" s="974">
        <v>830</v>
      </c>
      <c r="L407" s="974">
        <v>1</v>
      </c>
      <c r="M407" s="974">
        <v>975</v>
      </c>
      <c r="N407" s="974">
        <v>120</v>
      </c>
      <c r="O407" s="974">
        <v>2.8</v>
      </c>
      <c r="P407" s="974">
        <v>0.4</v>
      </c>
      <c r="Q407" s="974">
        <v>0.27</v>
      </c>
      <c r="R407" s="974">
        <v>0.35</v>
      </c>
    </row>
    <row r="408" spans="1:18" x14ac:dyDescent="0.35">
      <c r="A408" s="974" t="s">
        <v>1896</v>
      </c>
      <c r="B408" s="974" t="s">
        <v>2082</v>
      </c>
      <c r="C408" s="974">
        <v>105</v>
      </c>
      <c r="D408" s="974">
        <v>-16</v>
      </c>
      <c r="E408" s="974">
        <v>-18</v>
      </c>
      <c r="F408" s="974">
        <v>30</v>
      </c>
      <c r="G408" s="974">
        <v>23</v>
      </c>
      <c r="H408" s="974">
        <v>3540</v>
      </c>
      <c r="I408" s="974">
        <v>23</v>
      </c>
      <c r="J408" s="974">
        <v>92</v>
      </c>
      <c r="K408" s="974">
        <v>770</v>
      </c>
      <c r="L408" s="974">
        <v>0.9</v>
      </c>
      <c r="M408" s="974">
        <v>850</v>
      </c>
      <c r="N408" s="974">
        <v>160</v>
      </c>
      <c r="O408" s="974">
        <v>1</v>
      </c>
      <c r="P408" s="974">
        <v>0.4</v>
      </c>
      <c r="Q408" s="974">
        <v>0.36</v>
      </c>
      <c r="R408" s="974">
        <v>0.46</v>
      </c>
    </row>
    <row r="409" spans="1:18" x14ac:dyDescent="0.35">
      <c r="A409" s="974" t="s">
        <v>1896</v>
      </c>
      <c r="B409" s="974" t="s">
        <v>2083</v>
      </c>
      <c r="C409" s="974">
        <v>310</v>
      </c>
      <c r="D409" s="974">
        <v>-18</v>
      </c>
      <c r="E409" s="974">
        <v>-20</v>
      </c>
      <c r="F409" s="974">
        <v>30</v>
      </c>
      <c r="G409" s="974">
        <v>23</v>
      </c>
      <c r="H409" s="974">
        <v>4000</v>
      </c>
      <c r="I409" s="974">
        <v>28</v>
      </c>
      <c r="J409" s="974">
        <v>108</v>
      </c>
      <c r="K409" s="974">
        <v>820</v>
      </c>
      <c r="L409" s="974">
        <v>1</v>
      </c>
      <c r="M409" s="974">
        <v>1025</v>
      </c>
      <c r="N409" s="974">
        <v>160</v>
      </c>
      <c r="O409" s="974">
        <v>2.2000000000000002</v>
      </c>
      <c r="P409" s="974">
        <v>0.4</v>
      </c>
      <c r="Q409" s="974">
        <v>0.37</v>
      </c>
      <c r="R409" s="974">
        <v>0.47</v>
      </c>
    </row>
    <row r="410" spans="1:18" x14ac:dyDescent="0.35">
      <c r="A410" s="974" t="s">
        <v>1896</v>
      </c>
      <c r="B410" s="974" t="s">
        <v>2084</v>
      </c>
      <c r="C410" s="974">
        <v>225</v>
      </c>
      <c r="D410" s="974">
        <v>-16</v>
      </c>
      <c r="E410" s="974">
        <v>-18</v>
      </c>
      <c r="F410" s="974">
        <v>31</v>
      </c>
      <c r="G410" s="974">
        <v>24</v>
      </c>
      <c r="H410" s="974">
        <v>3780</v>
      </c>
      <c r="I410" s="974">
        <v>25</v>
      </c>
      <c r="J410" s="974">
        <v>103</v>
      </c>
      <c r="K410" s="974">
        <v>900</v>
      </c>
      <c r="L410" s="974">
        <v>1</v>
      </c>
      <c r="M410" s="974">
        <v>975</v>
      </c>
      <c r="N410" s="974">
        <v>180</v>
      </c>
      <c r="O410" s="974">
        <v>1.4</v>
      </c>
      <c r="P410" s="974">
        <v>0.4</v>
      </c>
      <c r="Q410" s="974">
        <v>0.37</v>
      </c>
      <c r="R410" s="974">
        <v>0.47</v>
      </c>
    </row>
    <row r="411" spans="1:18" x14ac:dyDescent="0.35">
      <c r="A411" s="974" t="s">
        <v>1896</v>
      </c>
      <c r="B411" s="974" t="s">
        <v>2085</v>
      </c>
      <c r="C411" s="974">
        <v>120</v>
      </c>
      <c r="D411" s="974">
        <v>-23</v>
      </c>
      <c r="E411" s="974">
        <v>-25</v>
      </c>
      <c r="F411" s="974">
        <v>30</v>
      </c>
      <c r="G411" s="974">
        <v>23</v>
      </c>
      <c r="H411" s="974">
        <v>4220</v>
      </c>
      <c r="I411" s="974">
        <v>25</v>
      </c>
      <c r="J411" s="974">
        <v>97</v>
      </c>
      <c r="K411" s="974">
        <v>740</v>
      </c>
      <c r="L411" s="974">
        <v>0.9</v>
      </c>
      <c r="M411" s="974">
        <v>850</v>
      </c>
      <c r="N411" s="974">
        <v>120</v>
      </c>
      <c r="O411" s="974">
        <v>1.7</v>
      </c>
      <c r="P411" s="974">
        <v>0.4</v>
      </c>
      <c r="Q411" s="974">
        <v>0.31</v>
      </c>
      <c r="R411" s="974">
        <v>0.4</v>
      </c>
    </row>
    <row r="412" spans="1:18" x14ac:dyDescent="0.35">
      <c r="A412" s="974" t="s">
        <v>1896</v>
      </c>
      <c r="B412" s="974" t="s">
        <v>2086</v>
      </c>
      <c r="C412" s="974">
        <v>360</v>
      </c>
      <c r="D412" s="974">
        <v>-18</v>
      </c>
      <c r="E412" s="974">
        <v>-20</v>
      </c>
      <c r="F412" s="974">
        <v>29</v>
      </c>
      <c r="G412" s="974">
        <v>23</v>
      </c>
      <c r="H412" s="974">
        <v>4050</v>
      </c>
      <c r="I412" s="974">
        <v>28</v>
      </c>
      <c r="J412" s="974">
        <v>113</v>
      </c>
      <c r="K412" s="974">
        <v>820</v>
      </c>
      <c r="L412" s="974">
        <v>1</v>
      </c>
      <c r="M412" s="974">
        <v>1050</v>
      </c>
      <c r="N412" s="974">
        <v>160</v>
      </c>
      <c r="O412" s="974">
        <v>2.2999999999999998</v>
      </c>
      <c r="P412" s="974">
        <v>0.4</v>
      </c>
      <c r="Q412" s="974">
        <v>0.35</v>
      </c>
      <c r="R412" s="974">
        <v>0.45</v>
      </c>
    </row>
    <row r="413" spans="1:18" x14ac:dyDescent="0.35">
      <c r="A413" s="974" t="s">
        <v>1896</v>
      </c>
      <c r="B413" s="974" t="s">
        <v>2087</v>
      </c>
      <c r="C413" s="974">
        <v>225</v>
      </c>
      <c r="D413" s="974">
        <v>-17</v>
      </c>
      <c r="E413" s="974">
        <v>-19</v>
      </c>
      <c r="F413" s="974">
        <v>31</v>
      </c>
      <c r="G413" s="974">
        <v>24</v>
      </c>
      <c r="H413" s="974">
        <v>3780</v>
      </c>
      <c r="I413" s="974">
        <v>25</v>
      </c>
      <c r="J413" s="974">
        <v>103</v>
      </c>
      <c r="K413" s="974">
        <v>770</v>
      </c>
      <c r="L413" s="974">
        <v>0.9</v>
      </c>
      <c r="M413" s="974">
        <v>950</v>
      </c>
      <c r="N413" s="974">
        <v>180</v>
      </c>
      <c r="O413" s="974">
        <v>1.9</v>
      </c>
      <c r="P413" s="974">
        <v>0.4</v>
      </c>
      <c r="Q413" s="974">
        <v>0.37</v>
      </c>
      <c r="R413" s="974">
        <v>0.47</v>
      </c>
    </row>
    <row r="414" spans="1:18" x14ac:dyDescent="0.35">
      <c r="A414" s="974" t="s">
        <v>1896</v>
      </c>
      <c r="B414" s="974" t="s">
        <v>2088</v>
      </c>
      <c r="C414" s="974">
        <v>205</v>
      </c>
      <c r="D414" s="974">
        <v>-28</v>
      </c>
      <c r="E414" s="974">
        <v>-30</v>
      </c>
      <c r="F414" s="974">
        <v>29</v>
      </c>
      <c r="G414" s="974">
        <v>21</v>
      </c>
      <c r="H414" s="974">
        <v>5200</v>
      </c>
      <c r="I414" s="974">
        <v>25</v>
      </c>
      <c r="J414" s="974">
        <v>95</v>
      </c>
      <c r="K414" s="974">
        <v>700</v>
      </c>
      <c r="L414" s="974">
        <v>0.9</v>
      </c>
      <c r="M414" s="974">
        <v>910</v>
      </c>
      <c r="N414" s="974">
        <v>140</v>
      </c>
      <c r="O414" s="974">
        <v>2.4</v>
      </c>
      <c r="P414" s="974">
        <v>0.4</v>
      </c>
      <c r="Q414" s="974">
        <v>0.27</v>
      </c>
      <c r="R414" s="974">
        <v>0.35</v>
      </c>
    </row>
    <row r="415" spans="1:18" x14ac:dyDescent="0.35">
      <c r="A415" s="974" t="s">
        <v>1896</v>
      </c>
      <c r="B415" s="974" t="s">
        <v>2089</v>
      </c>
      <c r="C415" s="974">
        <v>275</v>
      </c>
      <c r="D415" s="974">
        <v>-28</v>
      </c>
      <c r="E415" s="974">
        <v>-30</v>
      </c>
      <c r="F415" s="974">
        <v>29</v>
      </c>
      <c r="G415" s="974">
        <v>21</v>
      </c>
      <c r="H415" s="974">
        <v>5180</v>
      </c>
      <c r="I415" s="974">
        <v>25</v>
      </c>
      <c r="J415" s="974">
        <v>97</v>
      </c>
      <c r="K415" s="974">
        <v>650</v>
      </c>
      <c r="L415" s="974">
        <v>0.8</v>
      </c>
      <c r="M415" s="974">
        <v>875</v>
      </c>
      <c r="N415" s="974">
        <v>200</v>
      </c>
      <c r="O415" s="974">
        <v>2.5</v>
      </c>
      <c r="P415" s="974">
        <v>0.4</v>
      </c>
      <c r="Q415" s="974">
        <v>0.36</v>
      </c>
      <c r="R415" s="974">
        <v>0.46</v>
      </c>
    </row>
    <row r="416" spans="1:18" x14ac:dyDescent="0.35">
      <c r="A416" s="974" t="s">
        <v>1896</v>
      </c>
      <c r="B416" s="974" t="s">
        <v>2090</v>
      </c>
      <c r="C416" s="974">
        <v>340</v>
      </c>
      <c r="D416" s="974">
        <v>-27</v>
      </c>
      <c r="E416" s="974">
        <v>-29</v>
      </c>
      <c r="F416" s="974">
        <v>29</v>
      </c>
      <c r="G416" s="974">
        <v>22</v>
      </c>
      <c r="H416" s="974">
        <v>5080</v>
      </c>
      <c r="I416" s="974">
        <v>25</v>
      </c>
      <c r="J416" s="974">
        <v>97</v>
      </c>
      <c r="K416" s="974">
        <v>840</v>
      </c>
      <c r="L416" s="974">
        <v>1</v>
      </c>
      <c r="M416" s="974">
        <v>975</v>
      </c>
      <c r="N416" s="974">
        <v>120</v>
      </c>
      <c r="O416" s="974">
        <v>2.8</v>
      </c>
      <c r="P416" s="974">
        <v>0.4</v>
      </c>
      <c r="Q416" s="974">
        <v>0.27</v>
      </c>
      <c r="R416" s="974">
        <v>0.35</v>
      </c>
    </row>
    <row r="417" spans="1:18" x14ac:dyDescent="0.35">
      <c r="A417" s="974" t="s">
        <v>1896</v>
      </c>
      <c r="B417" s="974" t="s">
        <v>2091</v>
      </c>
      <c r="C417" s="974">
        <v>340</v>
      </c>
      <c r="D417" s="974">
        <v>-19</v>
      </c>
      <c r="E417" s="974">
        <v>-21</v>
      </c>
      <c r="F417" s="974">
        <v>29</v>
      </c>
      <c r="G417" s="974">
        <v>23</v>
      </c>
      <c r="H417" s="974">
        <v>4100</v>
      </c>
      <c r="I417" s="974">
        <v>28</v>
      </c>
      <c r="J417" s="974">
        <v>113</v>
      </c>
      <c r="K417" s="974">
        <v>820</v>
      </c>
      <c r="L417" s="974">
        <v>1</v>
      </c>
      <c r="M417" s="974">
        <v>1010</v>
      </c>
      <c r="N417" s="974">
        <v>160</v>
      </c>
      <c r="O417" s="974">
        <v>2.1</v>
      </c>
      <c r="P417" s="974">
        <v>0.4</v>
      </c>
      <c r="Q417" s="974">
        <v>0.35</v>
      </c>
      <c r="R417" s="974">
        <v>0.45</v>
      </c>
    </row>
    <row r="418" spans="1:18" x14ac:dyDescent="0.35">
      <c r="A418" s="974" t="s">
        <v>1896</v>
      </c>
      <c r="B418" s="974" t="s">
        <v>2092</v>
      </c>
      <c r="C418" s="974">
        <v>300</v>
      </c>
      <c r="D418" s="974">
        <v>-30</v>
      </c>
      <c r="E418" s="974">
        <v>-33</v>
      </c>
      <c r="F418" s="974">
        <v>30</v>
      </c>
      <c r="G418" s="974">
        <v>22</v>
      </c>
      <c r="H418" s="974">
        <v>5420</v>
      </c>
      <c r="I418" s="974">
        <v>23</v>
      </c>
      <c r="J418" s="974">
        <v>92</v>
      </c>
      <c r="K418" s="974">
        <v>650</v>
      </c>
      <c r="L418" s="974">
        <v>0.8</v>
      </c>
      <c r="M418" s="974">
        <v>875</v>
      </c>
      <c r="N418" s="974">
        <v>120</v>
      </c>
      <c r="O418" s="974">
        <v>2.6</v>
      </c>
      <c r="P418" s="974">
        <v>0.4</v>
      </c>
      <c r="Q418" s="974">
        <v>0.28999999999999998</v>
      </c>
      <c r="R418" s="974">
        <v>0.37</v>
      </c>
    </row>
    <row r="419" spans="1:18" x14ac:dyDescent="0.35">
      <c r="A419" s="974" t="s">
        <v>1896</v>
      </c>
      <c r="B419" s="974" t="s">
        <v>2093</v>
      </c>
      <c r="C419" s="974">
        <v>280</v>
      </c>
      <c r="D419" s="974">
        <v>-19</v>
      </c>
      <c r="E419" s="974">
        <v>-21</v>
      </c>
      <c r="F419" s="974">
        <v>30</v>
      </c>
      <c r="G419" s="974">
        <v>23</v>
      </c>
      <c r="H419" s="974">
        <v>3950</v>
      </c>
      <c r="I419" s="974">
        <v>28</v>
      </c>
      <c r="J419" s="974">
        <v>108</v>
      </c>
      <c r="K419" s="974">
        <v>820</v>
      </c>
      <c r="L419" s="974">
        <v>0.9</v>
      </c>
      <c r="M419" s="974">
        <v>975</v>
      </c>
      <c r="N419" s="974">
        <v>160</v>
      </c>
      <c r="O419" s="974">
        <v>1.9</v>
      </c>
      <c r="P419" s="974">
        <v>0.4</v>
      </c>
      <c r="Q419" s="974">
        <v>0.37</v>
      </c>
      <c r="R419" s="974">
        <v>0.48</v>
      </c>
    </row>
    <row r="420" spans="1:18" x14ac:dyDescent="0.35">
      <c r="A420" s="974" t="s">
        <v>1896</v>
      </c>
      <c r="B420" s="974" t="s">
        <v>2094</v>
      </c>
      <c r="C420" s="974">
        <v>205</v>
      </c>
      <c r="D420" s="974">
        <v>-16</v>
      </c>
      <c r="E420" s="974">
        <v>-18</v>
      </c>
      <c r="F420" s="974">
        <v>31</v>
      </c>
      <c r="G420" s="974">
        <v>23</v>
      </c>
      <c r="H420" s="974">
        <v>3710</v>
      </c>
      <c r="I420" s="974">
        <v>25</v>
      </c>
      <c r="J420" s="974">
        <v>103</v>
      </c>
      <c r="K420" s="974">
        <v>810</v>
      </c>
      <c r="L420" s="974">
        <v>1</v>
      </c>
      <c r="M420" s="974">
        <v>900</v>
      </c>
      <c r="N420" s="974">
        <v>180</v>
      </c>
      <c r="O420" s="974">
        <v>2.1</v>
      </c>
      <c r="P420" s="974">
        <v>0.4</v>
      </c>
      <c r="Q420" s="974">
        <v>0.37</v>
      </c>
      <c r="R420" s="974">
        <v>0.48</v>
      </c>
    </row>
    <row r="421" spans="1:18" x14ac:dyDescent="0.35">
      <c r="A421" s="974" t="s">
        <v>1896</v>
      </c>
      <c r="B421" s="974" t="s">
        <v>2095</v>
      </c>
      <c r="C421" s="974">
        <v>210</v>
      </c>
      <c r="D421" s="974">
        <v>-31</v>
      </c>
      <c r="E421" s="974">
        <v>-33</v>
      </c>
      <c r="F421" s="974">
        <v>29</v>
      </c>
      <c r="G421" s="974">
        <v>21</v>
      </c>
      <c r="H421" s="974">
        <v>5650</v>
      </c>
      <c r="I421" s="974">
        <v>23</v>
      </c>
      <c r="J421" s="974">
        <v>108</v>
      </c>
      <c r="K421" s="974">
        <v>560</v>
      </c>
      <c r="L421" s="974">
        <v>0.8</v>
      </c>
      <c r="M421" s="974">
        <v>710</v>
      </c>
      <c r="N421" s="974">
        <v>160</v>
      </c>
      <c r="O421" s="974">
        <v>2.9</v>
      </c>
      <c r="P421" s="974">
        <v>0.4</v>
      </c>
      <c r="Q421" s="974">
        <v>0.28999999999999998</v>
      </c>
      <c r="R421" s="974">
        <v>0.39</v>
      </c>
    </row>
    <row r="422" spans="1:18" x14ac:dyDescent="0.35">
      <c r="A422" s="974" t="s">
        <v>1896</v>
      </c>
      <c r="B422" s="974" t="s">
        <v>2096</v>
      </c>
      <c r="C422" s="974">
        <v>215</v>
      </c>
      <c r="D422" s="974">
        <v>-17</v>
      </c>
      <c r="E422" s="974">
        <v>-19</v>
      </c>
      <c r="F422" s="974">
        <v>30</v>
      </c>
      <c r="G422" s="974">
        <v>24</v>
      </c>
      <c r="H422" s="974">
        <v>3840</v>
      </c>
      <c r="I422" s="974">
        <v>25</v>
      </c>
      <c r="J422" s="974">
        <v>103</v>
      </c>
      <c r="K422" s="974">
        <v>880</v>
      </c>
      <c r="L422" s="974">
        <v>1</v>
      </c>
      <c r="M422" s="974">
        <v>980</v>
      </c>
      <c r="N422" s="974">
        <v>160</v>
      </c>
      <c r="O422" s="974">
        <v>1.3</v>
      </c>
      <c r="P422" s="974">
        <v>0.4</v>
      </c>
      <c r="Q422" s="974">
        <v>0.34</v>
      </c>
      <c r="R422" s="974">
        <v>0.44</v>
      </c>
    </row>
    <row r="423" spans="1:18" x14ac:dyDescent="0.35">
      <c r="A423" s="974" t="s">
        <v>1896</v>
      </c>
      <c r="B423" s="974" t="s">
        <v>2097</v>
      </c>
      <c r="C423" s="974">
        <v>300</v>
      </c>
      <c r="D423" s="974">
        <v>-34</v>
      </c>
      <c r="E423" s="974">
        <v>-36</v>
      </c>
      <c r="F423" s="974">
        <v>29</v>
      </c>
      <c r="G423" s="974">
        <v>21</v>
      </c>
      <c r="H423" s="974">
        <v>5940</v>
      </c>
      <c r="I423" s="974">
        <v>20</v>
      </c>
      <c r="J423" s="974">
        <v>108</v>
      </c>
      <c r="K423" s="974">
        <v>560</v>
      </c>
      <c r="L423" s="974">
        <v>0.8</v>
      </c>
      <c r="M423" s="974">
        <v>875</v>
      </c>
      <c r="N423" s="974">
        <v>100</v>
      </c>
      <c r="O423" s="974">
        <v>3.1</v>
      </c>
      <c r="P423" s="974">
        <v>0.3</v>
      </c>
      <c r="Q423" s="974">
        <v>0.27</v>
      </c>
      <c r="R423" s="974">
        <v>0.35</v>
      </c>
    </row>
    <row r="424" spans="1:18" x14ac:dyDescent="0.35">
      <c r="A424" s="974" t="s">
        <v>1896</v>
      </c>
      <c r="B424" s="974" t="s">
        <v>2098</v>
      </c>
      <c r="C424" s="974">
        <v>295</v>
      </c>
      <c r="D424" s="974">
        <v>-34</v>
      </c>
      <c r="E424" s="974">
        <v>-36</v>
      </c>
      <c r="F424" s="974">
        <v>29</v>
      </c>
      <c r="G424" s="974">
        <v>21</v>
      </c>
      <c r="H424" s="974">
        <v>6000</v>
      </c>
      <c r="I424" s="974">
        <v>20</v>
      </c>
      <c r="J424" s="974">
        <v>103</v>
      </c>
      <c r="K424" s="974">
        <v>560</v>
      </c>
      <c r="L424" s="974">
        <v>0.8</v>
      </c>
      <c r="M424" s="974">
        <v>875</v>
      </c>
      <c r="N424" s="974">
        <v>100</v>
      </c>
      <c r="O424" s="974">
        <v>2.9</v>
      </c>
      <c r="P424" s="974">
        <v>0.3</v>
      </c>
      <c r="Q424" s="974">
        <v>0.28999999999999998</v>
      </c>
      <c r="R424" s="974">
        <v>0.37</v>
      </c>
    </row>
    <row r="425" spans="1:18" x14ac:dyDescent="0.35">
      <c r="A425" s="974" t="s">
        <v>1896</v>
      </c>
      <c r="B425" s="974" t="s">
        <v>2099</v>
      </c>
      <c r="C425" s="974">
        <v>160</v>
      </c>
      <c r="D425" s="974">
        <v>-20</v>
      </c>
      <c r="E425" s="974">
        <v>-22</v>
      </c>
      <c r="F425" s="974">
        <v>31</v>
      </c>
      <c r="G425" s="974">
        <v>24</v>
      </c>
      <c r="H425" s="974">
        <v>3800</v>
      </c>
      <c r="I425" s="974">
        <v>26</v>
      </c>
      <c r="J425" s="974">
        <v>108</v>
      </c>
      <c r="K425" s="974">
        <v>720</v>
      </c>
      <c r="L425" s="974">
        <v>0.8</v>
      </c>
      <c r="M425" s="974">
        <v>800</v>
      </c>
      <c r="N425" s="974">
        <v>160</v>
      </c>
      <c r="O425" s="974">
        <v>1.1000000000000001</v>
      </c>
      <c r="P425" s="974">
        <v>0.4</v>
      </c>
      <c r="Q425" s="974">
        <v>0.34</v>
      </c>
      <c r="R425" s="974">
        <v>0.44</v>
      </c>
    </row>
    <row r="426" spans="1:18" x14ac:dyDescent="0.35">
      <c r="A426" s="974" t="s">
        <v>1896</v>
      </c>
      <c r="B426" s="974" t="s">
        <v>2100</v>
      </c>
      <c r="C426" s="974">
        <v>175</v>
      </c>
      <c r="D426" s="974">
        <v>-20</v>
      </c>
      <c r="E426" s="974">
        <v>-22</v>
      </c>
      <c r="F426" s="974">
        <v>31</v>
      </c>
      <c r="G426" s="974">
        <v>24</v>
      </c>
      <c r="H426" s="974">
        <v>3760</v>
      </c>
      <c r="I426" s="974">
        <v>25</v>
      </c>
      <c r="J426" s="974">
        <v>108</v>
      </c>
      <c r="K426" s="974">
        <v>730</v>
      </c>
      <c r="L426" s="974">
        <v>0.8</v>
      </c>
      <c r="M426" s="974">
        <v>850</v>
      </c>
      <c r="N426" s="974">
        <v>150</v>
      </c>
      <c r="O426" s="974">
        <v>1.2</v>
      </c>
      <c r="P426" s="974">
        <v>0.4</v>
      </c>
      <c r="Q426" s="974">
        <v>0.34</v>
      </c>
      <c r="R426" s="974">
        <v>0.44</v>
      </c>
    </row>
    <row r="427" spans="1:18" x14ac:dyDescent="0.35">
      <c r="A427" s="974" t="s">
        <v>1896</v>
      </c>
      <c r="B427" s="974" t="s">
        <v>2101</v>
      </c>
      <c r="C427" s="974">
        <v>180</v>
      </c>
      <c r="D427" s="974">
        <v>-20</v>
      </c>
      <c r="E427" s="974">
        <v>-22</v>
      </c>
      <c r="F427" s="974">
        <v>31</v>
      </c>
      <c r="G427" s="974">
        <v>24</v>
      </c>
      <c r="H427" s="974">
        <v>3800</v>
      </c>
      <c r="I427" s="974">
        <v>25</v>
      </c>
      <c r="J427" s="974">
        <v>92</v>
      </c>
      <c r="K427" s="974">
        <v>730</v>
      </c>
      <c r="L427" s="974">
        <v>0.9</v>
      </c>
      <c r="M427" s="974">
        <v>825</v>
      </c>
      <c r="N427" s="974">
        <v>160</v>
      </c>
      <c r="O427" s="974">
        <v>1.2</v>
      </c>
      <c r="P427" s="974">
        <v>0.4</v>
      </c>
      <c r="Q427" s="974">
        <v>0.37</v>
      </c>
      <c r="R427" s="974">
        <v>0.47</v>
      </c>
    </row>
    <row r="428" spans="1:18" x14ac:dyDescent="0.35">
      <c r="A428" s="974" t="s">
        <v>1896</v>
      </c>
      <c r="B428" s="974" t="s">
        <v>2102</v>
      </c>
      <c r="C428" s="974">
        <v>90</v>
      </c>
      <c r="D428" s="974">
        <v>-18</v>
      </c>
      <c r="E428" s="974">
        <v>-20</v>
      </c>
      <c r="F428" s="974">
        <v>31</v>
      </c>
      <c r="G428" s="974">
        <v>23</v>
      </c>
      <c r="H428" s="974">
        <v>3520</v>
      </c>
      <c r="I428" s="974">
        <v>25</v>
      </c>
      <c r="J428" s="974">
        <v>97</v>
      </c>
      <c r="K428" s="974">
        <v>720</v>
      </c>
      <c r="L428" s="974">
        <v>0.9</v>
      </c>
      <c r="M428" s="974">
        <v>820</v>
      </c>
      <c r="N428" s="974">
        <v>160</v>
      </c>
      <c r="O428" s="974">
        <v>0.9</v>
      </c>
      <c r="P428" s="974">
        <v>0.4</v>
      </c>
      <c r="Q428" s="974">
        <v>0.34</v>
      </c>
      <c r="R428" s="974">
        <v>0.44</v>
      </c>
    </row>
    <row r="429" spans="1:18" x14ac:dyDescent="0.35">
      <c r="A429" s="974" t="s">
        <v>1896</v>
      </c>
      <c r="B429" s="974" t="s">
        <v>2103</v>
      </c>
      <c r="C429" s="974">
        <v>80</v>
      </c>
      <c r="D429" s="974">
        <v>-22</v>
      </c>
      <c r="E429" s="974">
        <v>-24</v>
      </c>
      <c r="F429" s="974">
        <v>29</v>
      </c>
      <c r="G429" s="974">
        <v>23</v>
      </c>
      <c r="H429" s="974">
        <v>4110</v>
      </c>
      <c r="I429" s="974">
        <v>23</v>
      </c>
      <c r="J429" s="974">
        <v>97</v>
      </c>
      <c r="K429" s="974">
        <v>760</v>
      </c>
      <c r="L429" s="974">
        <v>0.9</v>
      </c>
      <c r="M429" s="974">
        <v>850</v>
      </c>
      <c r="N429" s="974">
        <v>160</v>
      </c>
      <c r="O429" s="974">
        <v>1.6</v>
      </c>
      <c r="P429" s="974">
        <v>0.4</v>
      </c>
      <c r="Q429" s="974">
        <v>0.37</v>
      </c>
      <c r="R429" s="974">
        <v>0.47</v>
      </c>
    </row>
    <row r="430" spans="1:18" x14ac:dyDescent="0.35">
      <c r="A430" s="974" t="s">
        <v>1896</v>
      </c>
      <c r="B430" s="974" t="s">
        <v>2104</v>
      </c>
      <c r="C430" s="974">
        <v>330</v>
      </c>
      <c r="D430" s="974">
        <v>-27</v>
      </c>
      <c r="E430" s="974">
        <v>-29</v>
      </c>
      <c r="F430" s="974">
        <v>29</v>
      </c>
      <c r="G430" s="974">
        <v>22</v>
      </c>
      <c r="H430" s="974">
        <v>5100</v>
      </c>
      <c r="I430" s="974">
        <v>25</v>
      </c>
      <c r="J430" s="974">
        <v>103</v>
      </c>
      <c r="K430" s="974">
        <v>780</v>
      </c>
      <c r="L430" s="974">
        <v>0.9</v>
      </c>
      <c r="M430" s="974">
        <v>975</v>
      </c>
      <c r="N430" s="974">
        <v>120</v>
      </c>
      <c r="O430" s="974">
        <v>2.7</v>
      </c>
      <c r="P430" s="974">
        <v>0.4</v>
      </c>
      <c r="Q430" s="974">
        <v>0.27</v>
      </c>
      <c r="R430" s="974">
        <v>0.35</v>
      </c>
    </row>
    <row r="431" spans="1:18" x14ac:dyDescent="0.35">
      <c r="A431" s="974" t="s">
        <v>1896</v>
      </c>
      <c r="B431" s="974" t="s">
        <v>2105</v>
      </c>
      <c r="C431" s="974">
        <v>275</v>
      </c>
      <c r="D431" s="974">
        <v>-22</v>
      </c>
      <c r="E431" s="974">
        <v>-24</v>
      </c>
      <c r="F431" s="974">
        <v>30</v>
      </c>
      <c r="G431" s="974">
        <v>23</v>
      </c>
      <c r="H431" s="974">
        <v>4240</v>
      </c>
      <c r="I431" s="974">
        <v>25</v>
      </c>
      <c r="J431" s="974">
        <v>103</v>
      </c>
      <c r="K431" s="974">
        <v>700</v>
      </c>
      <c r="L431" s="974">
        <v>0.8</v>
      </c>
      <c r="M431" s="974">
        <v>850</v>
      </c>
      <c r="N431" s="974">
        <v>140</v>
      </c>
      <c r="O431" s="974">
        <v>2.4</v>
      </c>
      <c r="P431" s="974">
        <v>0.4</v>
      </c>
      <c r="Q431" s="974">
        <v>0.33</v>
      </c>
      <c r="R431" s="974">
        <v>0.42</v>
      </c>
    </row>
    <row r="432" spans="1:18" x14ac:dyDescent="0.35">
      <c r="A432" s="974" t="s">
        <v>1896</v>
      </c>
      <c r="B432" s="974" t="s">
        <v>2106</v>
      </c>
      <c r="C432" s="974">
        <v>165</v>
      </c>
      <c r="D432" s="974">
        <v>-20</v>
      </c>
      <c r="E432" s="974">
        <v>-22</v>
      </c>
      <c r="F432" s="974">
        <v>31</v>
      </c>
      <c r="G432" s="974">
        <v>24</v>
      </c>
      <c r="H432" s="974">
        <v>4100</v>
      </c>
      <c r="I432" s="974">
        <v>26</v>
      </c>
      <c r="J432" s="974">
        <v>113</v>
      </c>
      <c r="K432" s="974">
        <v>700</v>
      </c>
      <c r="L432" s="974">
        <v>0.8</v>
      </c>
      <c r="M432" s="974">
        <v>800</v>
      </c>
      <c r="N432" s="974">
        <v>140</v>
      </c>
      <c r="O432" s="974">
        <v>1.1000000000000001</v>
      </c>
      <c r="P432" s="974">
        <v>0.4</v>
      </c>
      <c r="Q432" s="974">
        <v>0.34</v>
      </c>
      <c r="R432" s="974">
        <v>0.44</v>
      </c>
    </row>
    <row r="433" spans="1:18" x14ac:dyDescent="0.35">
      <c r="A433" s="974" t="s">
        <v>1896</v>
      </c>
      <c r="B433" s="974" t="s">
        <v>2107</v>
      </c>
      <c r="C433" s="974">
        <v>215</v>
      </c>
      <c r="D433" s="974">
        <v>-15</v>
      </c>
      <c r="E433" s="974">
        <v>-17</v>
      </c>
      <c r="F433" s="974">
        <v>30</v>
      </c>
      <c r="G433" s="974">
        <v>24</v>
      </c>
      <c r="H433" s="974">
        <v>3680</v>
      </c>
      <c r="I433" s="974">
        <v>25</v>
      </c>
      <c r="J433" s="974">
        <v>113</v>
      </c>
      <c r="K433" s="974">
        <v>880</v>
      </c>
      <c r="L433" s="974">
        <v>1</v>
      </c>
      <c r="M433" s="974">
        <v>950</v>
      </c>
      <c r="N433" s="974">
        <v>160</v>
      </c>
      <c r="O433" s="974">
        <v>1.3</v>
      </c>
      <c r="P433" s="974">
        <v>0.4</v>
      </c>
      <c r="Q433" s="974">
        <v>0.37</v>
      </c>
      <c r="R433" s="974">
        <v>0.47</v>
      </c>
    </row>
    <row r="434" spans="1:18" x14ac:dyDescent="0.35">
      <c r="A434" s="974" t="s">
        <v>1896</v>
      </c>
      <c r="B434" s="974" t="s">
        <v>2108</v>
      </c>
      <c r="C434" s="974">
        <v>275</v>
      </c>
      <c r="D434" s="974">
        <v>-18</v>
      </c>
      <c r="E434" s="974">
        <v>-20</v>
      </c>
      <c r="F434" s="974">
        <v>30</v>
      </c>
      <c r="G434" s="974">
        <v>22</v>
      </c>
      <c r="H434" s="974">
        <v>4300</v>
      </c>
      <c r="I434" s="974">
        <v>28</v>
      </c>
      <c r="J434" s="974">
        <v>103</v>
      </c>
      <c r="K434" s="974">
        <v>790</v>
      </c>
      <c r="L434" s="974">
        <v>0.9</v>
      </c>
      <c r="M434" s="974">
        <v>1025</v>
      </c>
      <c r="N434" s="974">
        <v>160</v>
      </c>
      <c r="O434" s="974">
        <v>2.7</v>
      </c>
      <c r="P434" s="974">
        <v>0.4</v>
      </c>
      <c r="Q434" s="974">
        <v>0.36</v>
      </c>
      <c r="R434" s="974">
        <v>0.46</v>
      </c>
    </row>
    <row r="435" spans="1:18" x14ac:dyDescent="0.35">
      <c r="A435" s="974" t="s">
        <v>1896</v>
      </c>
      <c r="B435" s="974" t="s">
        <v>2109</v>
      </c>
      <c r="C435" s="974">
        <v>180</v>
      </c>
      <c r="D435" s="974">
        <v>-16</v>
      </c>
      <c r="E435" s="974">
        <v>-18</v>
      </c>
      <c r="F435" s="974">
        <v>31</v>
      </c>
      <c r="G435" s="974">
        <v>24</v>
      </c>
      <c r="H435" s="974">
        <v>3600</v>
      </c>
      <c r="I435" s="974">
        <v>28</v>
      </c>
      <c r="J435" s="974">
        <v>97</v>
      </c>
      <c r="K435" s="974">
        <v>760</v>
      </c>
      <c r="L435" s="974">
        <v>0.9</v>
      </c>
      <c r="M435" s="974">
        <v>825</v>
      </c>
      <c r="N435" s="974">
        <v>180</v>
      </c>
      <c r="O435" s="974">
        <v>0.9</v>
      </c>
      <c r="P435" s="974">
        <v>0.4</v>
      </c>
      <c r="Q435" s="974">
        <v>0.35</v>
      </c>
      <c r="R435" s="974">
        <v>0.45</v>
      </c>
    </row>
    <row r="436" spans="1:18" x14ac:dyDescent="0.35">
      <c r="A436" s="974" t="s">
        <v>1896</v>
      </c>
      <c r="B436" s="974" t="s">
        <v>2110</v>
      </c>
      <c r="C436" s="974">
        <v>330</v>
      </c>
      <c r="D436" s="974">
        <v>-19</v>
      </c>
      <c r="E436" s="974">
        <v>-21</v>
      </c>
      <c r="F436" s="974">
        <v>29</v>
      </c>
      <c r="G436" s="974">
        <v>23</v>
      </c>
      <c r="H436" s="974">
        <v>4200</v>
      </c>
      <c r="I436" s="974">
        <v>28</v>
      </c>
      <c r="J436" s="974">
        <v>119</v>
      </c>
      <c r="K436" s="974">
        <v>780</v>
      </c>
      <c r="L436" s="974">
        <v>0.9</v>
      </c>
      <c r="M436" s="974">
        <v>925</v>
      </c>
      <c r="N436" s="974">
        <v>160</v>
      </c>
      <c r="O436" s="974">
        <v>2</v>
      </c>
      <c r="P436" s="974">
        <v>0.4</v>
      </c>
      <c r="Q436" s="974">
        <v>0.28999999999999998</v>
      </c>
      <c r="R436" s="974">
        <v>0.37</v>
      </c>
    </row>
    <row r="437" spans="1:18" x14ac:dyDescent="0.35">
      <c r="A437" s="974" t="s">
        <v>1896</v>
      </c>
      <c r="B437" s="974" t="s">
        <v>2111</v>
      </c>
      <c r="C437" s="974">
        <v>240</v>
      </c>
      <c r="D437" s="974">
        <v>-17</v>
      </c>
      <c r="E437" s="974">
        <v>-19</v>
      </c>
      <c r="F437" s="974">
        <v>31</v>
      </c>
      <c r="G437" s="974">
        <v>24</v>
      </c>
      <c r="H437" s="974">
        <v>3740</v>
      </c>
      <c r="I437" s="974">
        <v>25</v>
      </c>
      <c r="J437" s="974">
        <v>108</v>
      </c>
      <c r="K437" s="974">
        <v>790</v>
      </c>
      <c r="L437" s="974">
        <v>0.9</v>
      </c>
      <c r="M437" s="974">
        <v>950</v>
      </c>
      <c r="N437" s="974">
        <v>160</v>
      </c>
      <c r="O437" s="974">
        <v>1.9</v>
      </c>
      <c r="P437" s="974">
        <v>0.4</v>
      </c>
      <c r="Q437" s="974">
        <v>0.37</v>
      </c>
      <c r="R437" s="974">
        <v>0.47</v>
      </c>
    </row>
    <row r="438" spans="1:18" x14ac:dyDescent="0.35">
      <c r="A438" s="974" t="s">
        <v>1896</v>
      </c>
      <c r="B438" s="974" t="s">
        <v>2112</v>
      </c>
      <c r="C438" s="974">
        <v>290</v>
      </c>
      <c r="D438" s="974">
        <v>-34</v>
      </c>
      <c r="E438" s="974">
        <v>-36</v>
      </c>
      <c r="F438" s="974">
        <v>26</v>
      </c>
      <c r="G438" s="974">
        <v>21</v>
      </c>
      <c r="H438" s="974">
        <v>5840</v>
      </c>
      <c r="I438" s="974">
        <v>20</v>
      </c>
      <c r="J438" s="974">
        <v>93</v>
      </c>
      <c r="K438" s="974">
        <v>725</v>
      </c>
      <c r="L438" s="974">
        <v>0.9</v>
      </c>
      <c r="M438" s="974">
        <v>950</v>
      </c>
      <c r="N438" s="974">
        <v>160</v>
      </c>
      <c r="O438" s="974">
        <v>3.4</v>
      </c>
      <c r="P438" s="974">
        <v>0.4</v>
      </c>
      <c r="Q438" s="974">
        <v>0.3</v>
      </c>
      <c r="R438" s="974">
        <v>0.39</v>
      </c>
    </row>
    <row r="439" spans="1:18" x14ac:dyDescent="0.35">
      <c r="A439" s="974" t="s">
        <v>1896</v>
      </c>
      <c r="B439" s="974" t="s">
        <v>2113</v>
      </c>
      <c r="C439" s="974">
        <v>180</v>
      </c>
      <c r="D439" s="974">
        <v>-15</v>
      </c>
      <c r="E439" s="974">
        <v>-17</v>
      </c>
      <c r="F439" s="974">
        <v>30</v>
      </c>
      <c r="G439" s="974">
        <v>23</v>
      </c>
      <c r="H439" s="974">
        <v>3670</v>
      </c>
      <c r="I439" s="974">
        <v>23</v>
      </c>
      <c r="J439" s="974">
        <v>103</v>
      </c>
      <c r="K439" s="974">
        <v>840</v>
      </c>
      <c r="L439" s="974">
        <v>1</v>
      </c>
      <c r="M439" s="974">
        <v>975</v>
      </c>
      <c r="N439" s="974">
        <v>160</v>
      </c>
      <c r="O439" s="974">
        <v>2</v>
      </c>
      <c r="P439" s="974">
        <v>0.4</v>
      </c>
      <c r="Q439" s="974">
        <v>0.34</v>
      </c>
      <c r="R439" s="974">
        <v>0.43</v>
      </c>
    </row>
    <row r="440" spans="1:18" x14ac:dyDescent="0.35">
      <c r="A440" s="974" t="s">
        <v>1896</v>
      </c>
      <c r="B440" s="974" t="s">
        <v>2114</v>
      </c>
      <c r="C440" s="974">
        <v>215</v>
      </c>
      <c r="D440" s="974">
        <v>-16</v>
      </c>
      <c r="E440" s="974">
        <v>-18</v>
      </c>
      <c r="F440" s="974">
        <v>31</v>
      </c>
      <c r="G440" s="974">
        <v>24</v>
      </c>
      <c r="H440" s="974">
        <v>3700</v>
      </c>
      <c r="I440" s="974">
        <v>28</v>
      </c>
      <c r="J440" s="974">
        <v>103</v>
      </c>
      <c r="K440" s="974">
        <v>840</v>
      </c>
      <c r="L440" s="974">
        <v>1</v>
      </c>
      <c r="M440" s="974">
        <v>900</v>
      </c>
      <c r="N440" s="974">
        <v>180</v>
      </c>
      <c r="O440" s="974">
        <v>1.3</v>
      </c>
      <c r="P440" s="974">
        <v>0.4</v>
      </c>
      <c r="Q440" s="974">
        <v>0.37</v>
      </c>
      <c r="R440" s="974">
        <v>0.47</v>
      </c>
    </row>
    <row r="441" spans="1:18" x14ac:dyDescent="0.35">
      <c r="A441" s="974" t="s">
        <v>1896</v>
      </c>
      <c r="B441" s="974" t="s">
        <v>2115</v>
      </c>
      <c r="C441" s="974">
        <v>85</v>
      </c>
      <c r="D441" s="974">
        <v>-20</v>
      </c>
      <c r="E441" s="974">
        <v>-22</v>
      </c>
      <c r="F441" s="974">
        <v>30</v>
      </c>
      <c r="G441" s="974">
        <v>23</v>
      </c>
      <c r="H441" s="974">
        <v>3820</v>
      </c>
      <c r="I441" s="974">
        <v>23</v>
      </c>
      <c r="J441" s="974">
        <v>86</v>
      </c>
      <c r="K441" s="974">
        <v>760</v>
      </c>
      <c r="L441" s="974">
        <v>0.9</v>
      </c>
      <c r="M441" s="974">
        <v>850</v>
      </c>
      <c r="N441" s="974">
        <v>160</v>
      </c>
      <c r="O441" s="974">
        <v>1.2</v>
      </c>
      <c r="P441" s="974">
        <v>0.4</v>
      </c>
      <c r="Q441" s="974">
        <v>0.37</v>
      </c>
      <c r="R441" s="974">
        <v>0.48</v>
      </c>
    </row>
    <row r="442" spans="1:18" x14ac:dyDescent="0.35">
      <c r="A442" s="974" t="s">
        <v>1896</v>
      </c>
      <c r="B442" s="974" t="s">
        <v>2116</v>
      </c>
      <c r="C442" s="974">
        <v>160</v>
      </c>
      <c r="D442" s="974">
        <v>-20</v>
      </c>
      <c r="E442" s="974">
        <v>-22</v>
      </c>
      <c r="F442" s="974">
        <v>30</v>
      </c>
      <c r="G442" s="974">
        <v>23</v>
      </c>
      <c r="H442" s="974">
        <v>4010</v>
      </c>
      <c r="I442" s="974">
        <v>23</v>
      </c>
      <c r="J442" s="974">
        <v>86</v>
      </c>
      <c r="K442" s="974">
        <v>770</v>
      </c>
      <c r="L442" s="974">
        <v>0.9</v>
      </c>
      <c r="M442" s="974">
        <v>850</v>
      </c>
      <c r="N442" s="974">
        <v>140</v>
      </c>
      <c r="O442" s="974">
        <v>1.9</v>
      </c>
      <c r="P442" s="974">
        <v>0.4</v>
      </c>
      <c r="Q442" s="974">
        <v>0.35</v>
      </c>
      <c r="R442" s="974">
        <v>0.45</v>
      </c>
    </row>
    <row r="443" spans="1:18" x14ac:dyDescent="0.35">
      <c r="A443" s="974" t="s">
        <v>1896</v>
      </c>
      <c r="B443" s="974" t="s">
        <v>2117</v>
      </c>
      <c r="C443" s="974">
        <v>375</v>
      </c>
      <c r="D443" s="974">
        <v>-39</v>
      </c>
      <c r="E443" s="974">
        <v>-42</v>
      </c>
      <c r="F443" s="974">
        <v>28</v>
      </c>
      <c r="G443" s="974">
        <v>21</v>
      </c>
      <c r="H443" s="974">
        <v>6150</v>
      </c>
      <c r="I443" s="974">
        <v>20</v>
      </c>
      <c r="J443" s="974">
        <v>92</v>
      </c>
      <c r="K443" s="974">
        <v>575</v>
      </c>
      <c r="L443" s="974">
        <v>0.8</v>
      </c>
      <c r="M443" s="974">
        <v>825</v>
      </c>
      <c r="N443" s="974">
        <v>100</v>
      </c>
      <c r="O443" s="974">
        <v>3.6</v>
      </c>
      <c r="P443" s="974">
        <v>0.4</v>
      </c>
      <c r="Q443" s="974">
        <v>0.22</v>
      </c>
      <c r="R443" s="974">
        <v>0.3</v>
      </c>
    </row>
    <row r="444" spans="1:18" x14ac:dyDescent="0.35">
      <c r="A444" s="974" t="s">
        <v>1896</v>
      </c>
      <c r="B444" s="974" t="s">
        <v>2118</v>
      </c>
      <c r="C444" s="974">
        <v>185</v>
      </c>
      <c r="D444" s="974">
        <v>-19</v>
      </c>
      <c r="E444" s="974">
        <v>-21</v>
      </c>
      <c r="F444" s="974">
        <v>29</v>
      </c>
      <c r="G444" s="974">
        <v>22</v>
      </c>
      <c r="H444" s="974">
        <v>4300</v>
      </c>
      <c r="I444" s="974">
        <v>25</v>
      </c>
      <c r="J444" s="974">
        <v>103</v>
      </c>
      <c r="K444" s="974">
        <v>740</v>
      </c>
      <c r="L444" s="974">
        <v>0.9</v>
      </c>
      <c r="M444" s="974">
        <v>1000</v>
      </c>
      <c r="N444" s="974">
        <v>180</v>
      </c>
      <c r="O444" s="974">
        <v>2.7</v>
      </c>
      <c r="P444" s="974">
        <v>0.4</v>
      </c>
      <c r="Q444" s="974">
        <v>0.34</v>
      </c>
      <c r="R444" s="974">
        <v>0.44</v>
      </c>
    </row>
    <row r="445" spans="1:18" x14ac:dyDescent="0.35">
      <c r="A445" s="974" t="s">
        <v>1896</v>
      </c>
      <c r="B445" s="974" t="s">
        <v>2119</v>
      </c>
      <c r="C445" s="974">
        <v>185</v>
      </c>
      <c r="D445" s="974">
        <v>-16</v>
      </c>
      <c r="E445" s="974">
        <v>-18</v>
      </c>
      <c r="F445" s="974">
        <v>32</v>
      </c>
      <c r="G445" s="974">
        <v>24</v>
      </c>
      <c r="H445" s="974">
        <v>3400</v>
      </c>
      <c r="I445" s="974">
        <v>28</v>
      </c>
      <c r="J445" s="974">
        <v>103</v>
      </c>
      <c r="K445" s="974">
        <v>800</v>
      </c>
      <c r="L445" s="974">
        <v>0.9</v>
      </c>
      <c r="M445" s="974">
        <v>900</v>
      </c>
      <c r="N445" s="974">
        <v>180</v>
      </c>
      <c r="O445" s="974">
        <v>0.8</v>
      </c>
      <c r="P445" s="974">
        <v>0.4</v>
      </c>
      <c r="Q445" s="974">
        <v>0.37</v>
      </c>
      <c r="R445" s="974">
        <v>0.47</v>
      </c>
    </row>
    <row r="446" spans="1:18" x14ac:dyDescent="0.35">
      <c r="A446" s="974" t="s">
        <v>1896</v>
      </c>
      <c r="B446" s="974" t="s">
        <v>2120</v>
      </c>
      <c r="C446" s="974">
        <v>310</v>
      </c>
      <c r="D446" s="974">
        <v>-18</v>
      </c>
      <c r="E446" s="974">
        <v>-20</v>
      </c>
      <c r="F446" s="974">
        <v>30</v>
      </c>
      <c r="G446" s="974">
        <v>23</v>
      </c>
      <c r="H446" s="974">
        <v>4220</v>
      </c>
      <c r="I446" s="974">
        <v>28</v>
      </c>
      <c r="J446" s="974">
        <v>108</v>
      </c>
      <c r="K446" s="974">
        <v>780</v>
      </c>
      <c r="L446" s="974">
        <v>0.9</v>
      </c>
      <c r="M446" s="974">
        <v>1050</v>
      </c>
      <c r="N446" s="974">
        <v>160</v>
      </c>
      <c r="O446" s="974">
        <v>2.6</v>
      </c>
      <c r="P446" s="974">
        <v>0.4</v>
      </c>
      <c r="Q446" s="974">
        <v>0.36</v>
      </c>
      <c r="R446" s="974">
        <v>0.46</v>
      </c>
    </row>
    <row r="447" spans="1:18" x14ac:dyDescent="0.35">
      <c r="A447" s="974" t="s">
        <v>1896</v>
      </c>
      <c r="B447" s="974" t="s">
        <v>2121</v>
      </c>
      <c r="C447" s="974">
        <v>300</v>
      </c>
      <c r="D447" s="974">
        <v>-19</v>
      </c>
      <c r="E447" s="974">
        <v>-21</v>
      </c>
      <c r="F447" s="974">
        <v>30</v>
      </c>
      <c r="G447" s="974">
        <v>23</v>
      </c>
      <c r="H447" s="974">
        <v>3910</v>
      </c>
      <c r="I447" s="974">
        <v>28</v>
      </c>
      <c r="J447" s="974">
        <v>113</v>
      </c>
      <c r="K447" s="974">
        <v>830</v>
      </c>
      <c r="L447" s="974">
        <v>0.9</v>
      </c>
      <c r="M447" s="974">
        <v>930</v>
      </c>
      <c r="N447" s="974">
        <v>160</v>
      </c>
      <c r="O447" s="974">
        <v>1.9</v>
      </c>
      <c r="P447" s="974">
        <v>0.4</v>
      </c>
      <c r="Q447" s="974">
        <v>0.34</v>
      </c>
      <c r="R447" s="974">
        <v>0.44</v>
      </c>
    </row>
    <row r="448" spans="1:18" x14ac:dyDescent="0.35">
      <c r="A448" s="974" t="s">
        <v>1896</v>
      </c>
      <c r="B448" s="974" t="s">
        <v>2122</v>
      </c>
      <c r="C448" s="974">
        <v>215</v>
      </c>
      <c r="D448" s="974">
        <v>-16</v>
      </c>
      <c r="E448" s="974">
        <v>-18</v>
      </c>
      <c r="F448" s="974">
        <v>31</v>
      </c>
      <c r="G448" s="974">
        <v>24</v>
      </c>
      <c r="H448" s="974">
        <v>3700</v>
      </c>
      <c r="I448" s="974">
        <v>25</v>
      </c>
      <c r="J448" s="974">
        <v>103</v>
      </c>
      <c r="K448" s="974">
        <v>815</v>
      </c>
      <c r="L448" s="974">
        <v>0.9</v>
      </c>
      <c r="M448" s="974">
        <v>900</v>
      </c>
      <c r="N448" s="974">
        <v>180</v>
      </c>
      <c r="O448" s="974">
        <v>1.6</v>
      </c>
      <c r="P448" s="974">
        <v>0.4</v>
      </c>
      <c r="Q448" s="974">
        <v>0.37</v>
      </c>
      <c r="R448" s="974">
        <v>0.47</v>
      </c>
    </row>
    <row r="449" spans="1:18" x14ac:dyDescent="0.35">
      <c r="A449" s="974" t="s">
        <v>2123</v>
      </c>
      <c r="B449" s="974" t="s">
        <v>2124</v>
      </c>
      <c r="C449" s="974">
        <v>95</v>
      </c>
      <c r="D449" s="974">
        <v>-24</v>
      </c>
      <c r="E449" s="974">
        <v>-27</v>
      </c>
      <c r="F449" s="974">
        <v>30</v>
      </c>
      <c r="G449" s="974">
        <v>23</v>
      </c>
      <c r="H449" s="974">
        <v>4620</v>
      </c>
      <c r="I449" s="974">
        <v>21</v>
      </c>
      <c r="J449" s="974">
        <v>107</v>
      </c>
      <c r="K449" s="974">
        <v>860</v>
      </c>
      <c r="L449" s="974">
        <v>1</v>
      </c>
      <c r="M449" s="974">
        <v>1050</v>
      </c>
      <c r="N449" s="974">
        <v>180</v>
      </c>
      <c r="O449" s="974">
        <v>2.2999999999999998</v>
      </c>
      <c r="P449" s="974">
        <v>0.4</v>
      </c>
      <c r="Q449" s="974">
        <v>0.27</v>
      </c>
      <c r="R449" s="974">
        <v>0.35</v>
      </c>
    </row>
    <row r="450" spans="1:18" x14ac:dyDescent="0.35">
      <c r="A450" s="974" t="s">
        <v>2123</v>
      </c>
      <c r="B450" s="974" t="s">
        <v>2125</v>
      </c>
      <c r="C450" s="974">
        <v>110</v>
      </c>
      <c r="D450" s="974">
        <v>-31</v>
      </c>
      <c r="E450" s="974">
        <v>-33</v>
      </c>
      <c r="F450" s="974">
        <v>28</v>
      </c>
      <c r="G450" s="974">
        <v>22</v>
      </c>
      <c r="H450" s="974">
        <v>5800</v>
      </c>
      <c r="I450" s="974">
        <v>20</v>
      </c>
      <c r="J450" s="974">
        <v>91</v>
      </c>
      <c r="K450" s="974">
        <v>700</v>
      </c>
      <c r="L450" s="974">
        <v>0.9</v>
      </c>
      <c r="M450" s="974">
        <v>950</v>
      </c>
      <c r="N450" s="974">
        <v>160</v>
      </c>
      <c r="O450" s="974">
        <v>3.3</v>
      </c>
      <c r="P450" s="974">
        <v>0.4</v>
      </c>
      <c r="Q450" s="974">
        <v>0.27</v>
      </c>
      <c r="R450" s="974">
        <v>0.35</v>
      </c>
    </row>
    <row r="451" spans="1:18" x14ac:dyDescent="0.35">
      <c r="A451" s="974" t="s">
        <v>2123</v>
      </c>
      <c r="B451" s="974" t="s">
        <v>2126</v>
      </c>
      <c r="C451" s="974">
        <v>295</v>
      </c>
      <c r="D451" s="974">
        <v>-34</v>
      </c>
      <c r="E451" s="974">
        <v>-36</v>
      </c>
      <c r="F451" s="974">
        <v>28</v>
      </c>
      <c r="G451" s="974">
        <v>21</v>
      </c>
      <c r="H451" s="974">
        <v>6160</v>
      </c>
      <c r="I451" s="974">
        <v>20</v>
      </c>
      <c r="J451" s="974">
        <v>91</v>
      </c>
      <c r="K451" s="974">
        <v>670</v>
      </c>
      <c r="L451" s="974">
        <v>0.9</v>
      </c>
      <c r="M451" s="974">
        <v>920</v>
      </c>
      <c r="N451" s="974">
        <v>100</v>
      </c>
      <c r="O451" s="974">
        <v>3.2</v>
      </c>
      <c r="P451" s="974">
        <v>0.3</v>
      </c>
      <c r="Q451" s="974">
        <v>0.25</v>
      </c>
      <c r="R451" s="974">
        <v>0.32</v>
      </c>
    </row>
    <row r="452" spans="1:18" x14ac:dyDescent="0.35">
      <c r="A452" s="974" t="s">
        <v>2123</v>
      </c>
      <c r="B452" s="974" t="s">
        <v>2127</v>
      </c>
      <c r="C452" s="974">
        <v>245</v>
      </c>
      <c r="D452" s="974">
        <v>-26</v>
      </c>
      <c r="E452" s="974">
        <v>-28</v>
      </c>
      <c r="F452" s="974">
        <v>29</v>
      </c>
      <c r="G452" s="974">
        <v>22</v>
      </c>
      <c r="H452" s="974">
        <v>4800</v>
      </c>
      <c r="I452" s="974">
        <v>23</v>
      </c>
      <c r="J452" s="974">
        <v>96</v>
      </c>
      <c r="K452" s="974">
        <v>870</v>
      </c>
      <c r="L452" s="974">
        <v>1</v>
      </c>
      <c r="M452" s="974">
        <v>1050</v>
      </c>
      <c r="N452" s="974">
        <v>160</v>
      </c>
      <c r="O452" s="974">
        <v>2.8</v>
      </c>
      <c r="P452" s="974">
        <v>0.6</v>
      </c>
      <c r="Q452" s="974">
        <v>0.27</v>
      </c>
      <c r="R452" s="974">
        <v>0.35</v>
      </c>
    </row>
    <row r="453" spans="1:18" x14ac:dyDescent="0.35">
      <c r="A453" s="974" t="s">
        <v>2123</v>
      </c>
      <c r="B453" s="974" t="s">
        <v>2128</v>
      </c>
      <c r="C453" s="974">
        <v>90</v>
      </c>
      <c r="D453" s="974">
        <v>-25</v>
      </c>
      <c r="E453" s="974">
        <v>-28</v>
      </c>
      <c r="F453" s="974">
        <v>30</v>
      </c>
      <c r="G453" s="974">
        <v>23</v>
      </c>
      <c r="H453" s="974">
        <v>4520</v>
      </c>
      <c r="I453" s="974">
        <v>23</v>
      </c>
      <c r="J453" s="974">
        <v>91</v>
      </c>
      <c r="K453" s="974">
        <v>730</v>
      </c>
      <c r="L453" s="974">
        <v>0.8</v>
      </c>
      <c r="M453" s="974">
        <v>900</v>
      </c>
      <c r="N453" s="974">
        <v>160</v>
      </c>
      <c r="O453" s="974">
        <v>2.5</v>
      </c>
      <c r="P453" s="974">
        <v>0.4</v>
      </c>
      <c r="Q453" s="974">
        <v>0.32</v>
      </c>
      <c r="R453" s="974">
        <v>0.41</v>
      </c>
    </row>
    <row r="454" spans="1:18" x14ac:dyDescent="0.35">
      <c r="A454" s="974" t="s">
        <v>2123</v>
      </c>
      <c r="B454" s="974" t="s">
        <v>2129</v>
      </c>
      <c r="C454" s="974">
        <v>60</v>
      </c>
      <c r="D454" s="974">
        <v>-27</v>
      </c>
      <c r="E454" s="974">
        <v>-29</v>
      </c>
      <c r="F454" s="974">
        <v>25</v>
      </c>
      <c r="G454" s="974">
        <v>19</v>
      </c>
      <c r="H454" s="974">
        <v>6020</v>
      </c>
      <c r="I454" s="974">
        <v>16</v>
      </c>
      <c r="J454" s="974">
        <v>91</v>
      </c>
      <c r="K454" s="974">
        <v>680</v>
      </c>
      <c r="L454" s="974">
        <v>1</v>
      </c>
      <c r="M454" s="974">
        <v>1000</v>
      </c>
      <c r="N454" s="974">
        <v>220</v>
      </c>
      <c r="O454" s="974">
        <v>4.3</v>
      </c>
      <c r="P454" s="974">
        <v>0.4</v>
      </c>
      <c r="Q454" s="974">
        <v>0.39</v>
      </c>
      <c r="R454" s="974">
        <v>0.5</v>
      </c>
    </row>
    <row r="455" spans="1:18" x14ac:dyDescent="0.35">
      <c r="A455" s="974" t="s">
        <v>2123</v>
      </c>
      <c r="B455" s="974" t="s">
        <v>2130</v>
      </c>
      <c r="C455" s="974">
        <v>20</v>
      </c>
      <c r="D455" s="974">
        <v>-27</v>
      </c>
      <c r="E455" s="974">
        <v>-29</v>
      </c>
      <c r="F455" s="974">
        <v>28</v>
      </c>
      <c r="G455" s="974">
        <v>21</v>
      </c>
      <c r="H455" s="974">
        <v>5280</v>
      </c>
      <c r="I455" s="974">
        <v>18</v>
      </c>
      <c r="J455" s="974">
        <v>102</v>
      </c>
      <c r="K455" s="974">
        <v>730</v>
      </c>
      <c r="L455" s="974">
        <v>0.9</v>
      </c>
      <c r="M455" s="974">
        <v>1000</v>
      </c>
      <c r="N455" s="974">
        <v>180</v>
      </c>
      <c r="O455" s="974">
        <v>3.4</v>
      </c>
      <c r="P455" s="974">
        <v>0.6</v>
      </c>
      <c r="Q455" s="974">
        <v>0.37</v>
      </c>
      <c r="R455" s="974">
        <v>0.48</v>
      </c>
    </row>
    <row r="456" spans="1:18" x14ac:dyDescent="0.35">
      <c r="A456" s="974" t="s">
        <v>2123</v>
      </c>
      <c r="B456" s="974" t="s">
        <v>2131</v>
      </c>
      <c r="C456" s="974">
        <v>45</v>
      </c>
      <c r="D456" s="974">
        <v>-26</v>
      </c>
      <c r="E456" s="974">
        <v>-29</v>
      </c>
      <c r="F456" s="974">
        <v>28</v>
      </c>
      <c r="G456" s="974">
        <v>22</v>
      </c>
      <c r="H456" s="974">
        <v>5100</v>
      </c>
      <c r="I456" s="974">
        <v>20</v>
      </c>
      <c r="J456" s="974">
        <v>107</v>
      </c>
      <c r="K456" s="974">
        <v>980</v>
      </c>
      <c r="L456" s="974">
        <v>1.1000000000000001</v>
      </c>
      <c r="M456" s="974">
        <v>1200</v>
      </c>
      <c r="N456" s="974">
        <v>200</v>
      </c>
      <c r="O456" s="974">
        <v>3.4</v>
      </c>
      <c r="P456" s="974">
        <v>0.6</v>
      </c>
      <c r="Q456" s="974">
        <v>0.33</v>
      </c>
      <c r="R456" s="974">
        <v>0.42</v>
      </c>
    </row>
    <row r="457" spans="1:18" x14ac:dyDescent="0.35">
      <c r="A457" s="974" t="s">
        <v>2123</v>
      </c>
      <c r="B457" s="974" t="s">
        <v>2132</v>
      </c>
      <c r="C457" s="974">
        <v>55</v>
      </c>
      <c r="D457" s="974">
        <v>-24</v>
      </c>
      <c r="E457" s="974">
        <v>-26</v>
      </c>
      <c r="F457" s="974">
        <v>29</v>
      </c>
      <c r="G457" s="974">
        <v>23</v>
      </c>
      <c r="H457" s="974">
        <v>4420</v>
      </c>
      <c r="I457" s="974">
        <v>23</v>
      </c>
      <c r="J457" s="974">
        <v>91</v>
      </c>
      <c r="K457" s="974">
        <v>880</v>
      </c>
      <c r="L457" s="974">
        <v>1</v>
      </c>
      <c r="M457" s="974">
        <v>1260</v>
      </c>
      <c r="N457" s="974">
        <v>160</v>
      </c>
      <c r="O457" s="974">
        <v>2.1</v>
      </c>
      <c r="P457" s="974">
        <v>0.4</v>
      </c>
      <c r="Q457" s="974">
        <v>0.28999999999999998</v>
      </c>
      <c r="R457" s="974">
        <v>0.37</v>
      </c>
    </row>
    <row r="458" spans="1:18" x14ac:dyDescent="0.35">
      <c r="A458" s="974" t="s">
        <v>2123</v>
      </c>
      <c r="B458" s="974" t="s">
        <v>2133</v>
      </c>
      <c r="C458" s="974">
        <v>25</v>
      </c>
      <c r="D458" s="974">
        <v>-24</v>
      </c>
      <c r="E458" s="974">
        <v>-26</v>
      </c>
      <c r="F458" s="974">
        <v>30</v>
      </c>
      <c r="G458" s="974">
        <v>23</v>
      </c>
      <c r="H458" s="974">
        <v>4500</v>
      </c>
      <c r="I458" s="974">
        <v>23</v>
      </c>
      <c r="J458" s="974">
        <v>91</v>
      </c>
      <c r="K458" s="974">
        <v>840</v>
      </c>
      <c r="L458" s="974">
        <v>1</v>
      </c>
      <c r="M458" s="974">
        <v>1025</v>
      </c>
      <c r="N458" s="974">
        <v>180</v>
      </c>
      <c r="O458" s="974">
        <v>2.4</v>
      </c>
      <c r="P458" s="974">
        <v>0.4</v>
      </c>
      <c r="Q458" s="974">
        <v>0.28999999999999998</v>
      </c>
      <c r="R458" s="974">
        <v>0.37</v>
      </c>
    </row>
    <row r="459" spans="1:18" x14ac:dyDescent="0.35">
      <c r="A459" s="974" t="s">
        <v>2123</v>
      </c>
      <c r="B459" s="974" t="s">
        <v>2134</v>
      </c>
      <c r="C459" s="974">
        <v>210</v>
      </c>
      <c r="D459" s="974">
        <v>-25</v>
      </c>
      <c r="E459" s="974">
        <v>-27</v>
      </c>
      <c r="F459" s="974">
        <v>29</v>
      </c>
      <c r="G459" s="974">
        <v>23</v>
      </c>
      <c r="H459" s="974">
        <v>4730</v>
      </c>
      <c r="I459" s="974">
        <v>23</v>
      </c>
      <c r="J459" s="974">
        <v>96</v>
      </c>
      <c r="K459" s="974">
        <v>990</v>
      </c>
      <c r="L459" s="974">
        <v>1.1000000000000001</v>
      </c>
      <c r="M459" s="974">
        <v>1240</v>
      </c>
      <c r="N459" s="974">
        <v>160</v>
      </c>
      <c r="O459" s="974">
        <v>2.5</v>
      </c>
      <c r="P459" s="974">
        <v>0.4</v>
      </c>
      <c r="Q459" s="974">
        <v>0.28999999999999998</v>
      </c>
      <c r="R459" s="974">
        <v>0.37</v>
      </c>
    </row>
    <row r="460" spans="1:18" x14ac:dyDescent="0.35">
      <c r="A460" s="974" t="s">
        <v>2123</v>
      </c>
      <c r="B460" s="974" t="s">
        <v>2135</v>
      </c>
      <c r="C460" s="974">
        <v>15</v>
      </c>
      <c r="D460" s="974">
        <v>-24</v>
      </c>
      <c r="E460" s="974">
        <v>-26</v>
      </c>
      <c r="F460" s="974">
        <v>30</v>
      </c>
      <c r="G460" s="974">
        <v>23</v>
      </c>
      <c r="H460" s="974">
        <v>4420</v>
      </c>
      <c r="I460" s="974">
        <v>23</v>
      </c>
      <c r="J460" s="974">
        <v>91</v>
      </c>
      <c r="K460" s="974">
        <v>800</v>
      </c>
      <c r="L460" s="974">
        <v>0.9</v>
      </c>
      <c r="M460" s="974">
        <v>1025</v>
      </c>
      <c r="N460" s="974">
        <v>180</v>
      </c>
      <c r="O460" s="974">
        <v>2.4</v>
      </c>
      <c r="P460" s="974">
        <v>0.4</v>
      </c>
      <c r="Q460" s="974">
        <v>0.34</v>
      </c>
      <c r="R460" s="974">
        <v>0.44</v>
      </c>
    </row>
    <row r="461" spans="1:18" x14ac:dyDescent="0.35">
      <c r="A461" s="974" t="s">
        <v>2123</v>
      </c>
      <c r="B461" s="974" t="s">
        <v>2136</v>
      </c>
      <c r="C461" s="974">
        <v>130</v>
      </c>
      <c r="D461" s="974">
        <v>-26</v>
      </c>
      <c r="E461" s="974">
        <v>-28</v>
      </c>
      <c r="F461" s="974">
        <v>30</v>
      </c>
      <c r="G461" s="974">
        <v>23</v>
      </c>
      <c r="H461" s="974">
        <v>4880</v>
      </c>
      <c r="I461" s="974">
        <v>23</v>
      </c>
      <c r="J461" s="974">
        <v>91</v>
      </c>
      <c r="K461" s="974">
        <v>810</v>
      </c>
      <c r="L461" s="974">
        <v>0.9</v>
      </c>
      <c r="M461" s="974">
        <v>990</v>
      </c>
      <c r="N461" s="974">
        <v>160</v>
      </c>
      <c r="O461" s="974">
        <v>2.6</v>
      </c>
      <c r="P461" s="974">
        <v>0.4</v>
      </c>
      <c r="Q461" s="974">
        <v>0.31</v>
      </c>
      <c r="R461" s="974">
        <v>0.4</v>
      </c>
    </row>
    <row r="462" spans="1:18" x14ac:dyDescent="0.35">
      <c r="A462" s="974" t="s">
        <v>2123</v>
      </c>
      <c r="B462" s="974" t="s">
        <v>2137</v>
      </c>
      <c r="C462" s="974">
        <v>115</v>
      </c>
      <c r="D462" s="974">
        <v>-28</v>
      </c>
      <c r="E462" s="974">
        <v>-30</v>
      </c>
      <c r="F462" s="974">
        <v>30</v>
      </c>
      <c r="G462" s="974">
        <v>23</v>
      </c>
      <c r="H462" s="974">
        <v>4900</v>
      </c>
      <c r="I462" s="974">
        <v>23</v>
      </c>
      <c r="J462" s="974">
        <v>96</v>
      </c>
      <c r="K462" s="974">
        <v>700</v>
      </c>
      <c r="L462" s="974">
        <v>0.8</v>
      </c>
      <c r="M462" s="974">
        <v>850</v>
      </c>
      <c r="N462" s="974">
        <v>140</v>
      </c>
      <c r="O462" s="974">
        <v>2.6</v>
      </c>
      <c r="P462" s="974">
        <v>0.4</v>
      </c>
      <c r="Q462" s="974">
        <v>0.25</v>
      </c>
      <c r="R462" s="974">
        <v>0.32</v>
      </c>
    </row>
    <row r="463" spans="1:18" x14ac:dyDescent="0.35">
      <c r="A463" s="974" t="s">
        <v>2123</v>
      </c>
      <c r="B463" s="974" t="s">
        <v>2138</v>
      </c>
      <c r="C463" s="974">
        <v>20</v>
      </c>
      <c r="D463" s="974">
        <v>-24</v>
      </c>
      <c r="E463" s="974">
        <v>-26</v>
      </c>
      <c r="F463" s="974">
        <v>30</v>
      </c>
      <c r="G463" s="974">
        <v>23</v>
      </c>
      <c r="H463" s="974">
        <v>4450</v>
      </c>
      <c r="I463" s="974">
        <v>23</v>
      </c>
      <c r="J463" s="974">
        <v>91</v>
      </c>
      <c r="K463" s="974">
        <v>850</v>
      </c>
      <c r="L463" s="974">
        <v>1</v>
      </c>
      <c r="M463" s="974">
        <v>1000</v>
      </c>
      <c r="N463" s="974">
        <v>160</v>
      </c>
      <c r="O463" s="974">
        <v>2.2999999999999998</v>
      </c>
      <c r="P463" s="974">
        <v>0.4</v>
      </c>
      <c r="Q463" s="974">
        <v>0.31</v>
      </c>
      <c r="R463" s="974">
        <v>0.4</v>
      </c>
    </row>
    <row r="464" spans="1:18" x14ac:dyDescent="0.35">
      <c r="A464" s="974" t="s">
        <v>2123</v>
      </c>
      <c r="B464" s="974" t="s">
        <v>2139</v>
      </c>
      <c r="C464" s="974">
        <v>295</v>
      </c>
      <c r="D464" s="974">
        <v>-25</v>
      </c>
      <c r="E464" s="974">
        <v>-27</v>
      </c>
      <c r="F464" s="974">
        <v>28</v>
      </c>
      <c r="G464" s="974">
        <v>22</v>
      </c>
      <c r="H464" s="974">
        <v>4750</v>
      </c>
      <c r="I464" s="974">
        <v>23</v>
      </c>
      <c r="J464" s="974">
        <v>96</v>
      </c>
      <c r="K464" s="974">
        <v>860</v>
      </c>
      <c r="L464" s="974">
        <v>1</v>
      </c>
      <c r="M464" s="974">
        <v>1060</v>
      </c>
      <c r="N464" s="974">
        <v>160</v>
      </c>
      <c r="O464" s="974">
        <v>2.2999999999999998</v>
      </c>
      <c r="P464" s="974">
        <v>0.6</v>
      </c>
      <c r="Q464" s="974">
        <v>0.27</v>
      </c>
      <c r="R464" s="974">
        <v>0.35</v>
      </c>
    </row>
    <row r="465" spans="1:18" x14ac:dyDescent="0.35">
      <c r="A465" s="974" t="s">
        <v>2123</v>
      </c>
      <c r="B465" s="974" t="s">
        <v>2140</v>
      </c>
      <c r="C465" s="974">
        <v>10</v>
      </c>
      <c r="D465" s="974">
        <v>-25</v>
      </c>
      <c r="E465" s="974">
        <v>-27</v>
      </c>
      <c r="F465" s="974">
        <v>30</v>
      </c>
      <c r="G465" s="974">
        <v>23</v>
      </c>
      <c r="H465" s="974">
        <v>4500</v>
      </c>
      <c r="I465" s="974">
        <v>20</v>
      </c>
      <c r="J465" s="974">
        <v>102</v>
      </c>
      <c r="K465" s="974">
        <v>810</v>
      </c>
      <c r="L465" s="974">
        <v>0.9</v>
      </c>
      <c r="M465" s="974">
        <v>1000</v>
      </c>
      <c r="N465" s="974">
        <v>180</v>
      </c>
      <c r="O465" s="974">
        <v>2.8</v>
      </c>
      <c r="P465" s="974">
        <v>0.4</v>
      </c>
      <c r="Q465" s="974">
        <v>0.34</v>
      </c>
      <c r="R465" s="974">
        <v>0.43</v>
      </c>
    </row>
    <row r="466" spans="1:18" x14ac:dyDescent="0.35">
      <c r="A466" s="974" t="s">
        <v>2123</v>
      </c>
      <c r="B466" s="974" t="s">
        <v>2141</v>
      </c>
      <c r="C466" s="974">
        <v>120</v>
      </c>
      <c r="D466" s="974">
        <v>-25</v>
      </c>
      <c r="E466" s="974">
        <v>-27</v>
      </c>
      <c r="F466" s="974">
        <v>29</v>
      </c>
      <c r="G466" s="974">
        <v>23</v>
      </c>
      <c r="H466" s="974">
        <v>4540</v>
      </c>
      <c r="I466" s="974">
        <v>23</v>
      </c>
      <c r="J466" s="974">
        <v>91</v>
      </c>
      <c r="K466" s="974">
        <v>940</v>
      </c>
      <c r="L466" s="974">
        <v>1</v>
      </c>
      <c r="M466" s="974">
        <v>1150</v>
      </c>
      <c r="N466" s="974">
        <v>160</v>
      </c>
      <c r="O466" s="974">
        <v>2.2999999999999998</v>
      </c>
      <c r="P466" s="974">
        <v>0.4</v>
      </c>
      <c r="Q466" s="974">
        <v>0.28999999999999998</v>
      </c>
      <c r="R466" s="974">
        <v>0.37</v>
      </c>
    </row>
    <row r="467" spans="1:18" x14ac:dyDescent="0.35">
      <c r="A467" s="974" t="s">
        <v>2123</v>
      </c>
      <c r="B467" s="974" t="s">
        <v>2142</v>
      </c>
      <c r="C467" s="974">
        <v>25</v>
      </c>
      <c r="D467" s="974">
        <v>-25</v>
      </c>
      <c r="E467" s="974">
        <v>-27</v>
      </c>
      <c r="F467" s="974">
        <v>29</v>
      </c>
      <c r="G467" s="974">
        <v>23</v>
      </c>
      <c r="H467" s="974">
        <v>4440</v>
      </c>
      <c r="I467" s="974">
        <v>23</v>
      </c>
      <c r="J467" s="974">
        <v>96</v>
      </c>
      <c r="K467" s="974">
        <v>820</v>
      </c>
      <c r="L467" s="974">
        <v>0.9</v>
      </c>
      <c r="M467" s="974">
        <v>1025</v>
      </c>
      <c r="N467" s="974">
        <v>160</v>
      </c>
      <c r="O467" s="974">
        <v>2.4</v>
      </c>
      <c r="P467" s="974">
        <v>0.4</v>
      </c>
      <c r="Q467" s="974">
        <v>0.28999999999999998</v>
      </c>
      <c r="R467" s="974">
        <v>0.37</v>
      </c>
    </row>
    <row r="468" spans="1:18" x14ac:dyDescent="0.35">
      <c r="A468" s="974" t="s">
        <v>2123</v>
      </c>
      <c r="B468" s="974" t="s">
        <v>2143</v>
      </c>
      <c r="C468" s="974">
        <v>120</v>
      </c>
      <c r="D468" s="974">
        <v>-32</v>
      </c>
      <c r="E468" s="974">
        <v>-34</v>
      </c>
      <c r="F468" s="974">
        <v>28</v>
      </c>
      <c r="G468" s="974">
        <v>22</v>
      </c>
      <c r="H468" s="974">
        <v>6250</v>
      </c>
      <c r="I468" s="974">
        <v>22</v>
      </c>
      <c r="J468" s="974">
        <v>91</v>
      </c>
      <c r="K468" s="974">
        <v>670</v>
      </c>
      <c r="L468" s="974">
        <v>0.9</v>
      </c>
      <c r="M468" s="974">
        <v>900</v>
      </c>
      <c r="N468" s="974">
        <v>140</v>
      </c>
      <c r="O468" s="974">
        <v>3.5</v>
      </c>
      <c r="P468" s="974">
        <v>0.3</v>
      </c>
      <c r="Q468" s="974">
        <v>0.27</v>
      </c>
      <c r="R468" s="974">
        <v>0.35</v>
      </c>
    </row>
    <row r="469" spans="1:18" x14ac:dyDescent="0.35">
      <c r="A469" s="974" t="s">
        <v>2123</v>
      </c>
      <c r="B469" s="974" t="s">
        <v>2144</v>
      </c>
      <c r="C469" s="974">
        <v>85</v>
      </c>
      <c r="D469" s="974">
        <v>-26</v>
      </c>
      <c r="E469" s="974">
        <v>-28</v>
      </c>
      <c r="F469" s="974">
        <v>30</v>
      </c>
      <c r="G469" s="974">
        <v>23</v>
      </c>
      <c r="H469" s="974">
        <v>4700</v>
      </c>
      <c r="I469" s="974">
        <v>22</v>
      </c>
      <c r="J469" s="974">
        <v>107</v>
      </c>
      <c r="K469" s="974">
        <v>870</v>
      </c>
      <c r="L469" s="974">
        <v>1</v>
      </c>
      <c r="M469" s="974">
        <v>1075</v>
      </c>
      <c r="N469" s="974">
        <v>180</v>
      </c>
      <c r="O469" s="974">
        <v>2.5</v>
      </c>
      <c r="P469" s="974">
        <v>0.4</v>
      </c>
      <c r="Q469" s="974">
        <v>0.27</v>
      </c>
      <c r="R469" s="974">
        <v>0.35</v>
      </c>
    </row>
    <row r="470" spans="1:18" x14ac:dyDescent="0.35">
      <c r="A470" s="974" t="s">
        <v>2123</v>
      </c>
      <c r="B470" s="974" t="s">
        <v>2145</v>
      </c>
      <c r="C470" s="974">
        <v>60</v>
      </c>
      <c r="D470" s="974">
        <v>-24</v>
      </c>
      <c r="E470" s="974">
        <v>-26</v>
      </c>
      <c r="F470" s="974">
        <v>29</v>
      </c>
      <c r="G470" s="974">
        <v>23</v>
      </c>
      <c r="H470" s="974">
        <v>4500</v>
      </c>
      <c r="I470" s="974">
        <v>23</v>
      </c>
      <c r="J470" s="974">
        <v>96</v>
      </c>
      <c r="K470" s="974">
        <v>910</v>
      </c>
      <c r="L470" s="974">
        <v>1</v>
      </c>
      <c r="M470" s="974">
        <v>1050</v>
      </c>
      <c r="N470" s="974">
        <v>180</v>
      </c>
      <c r="O470" s="974">
        <v>2.5</v>
      </c>
      <c r="P470" s="974">
        <v>0.4</v>
      </c>
      <c r="Q470" s="974">
        <v>0.28999999999999998</v>
      </c>
      <c r="R470" s="974">
        <v>0.37</v>
      </c>
    </row>
    <row r="471" spans="1:18" x14ac:dyDescent="0.35">
      <c r="A471" s="974" t="s">
        <v>2123</v>
      </c>
      <c r="B471" s="974" t="s">
        <v>2146</v>
      </c>
      <c r="C471" s="974">
        <v>110</v>
      </c>
      <c r="D471" s="974">
        <v>-28</v>
      </c>
      <c r="E471" s="974">
        <v>-30</v>
      </c>
      <c r="F471" s="974">
        <v>30</v>
      </c>
      <c r="G471" s="974">
        <v>23</v>
      </c>
      <c r="H471" s="974">
        <v>4950</v>
      </c>
      <c r="I471" s="974">
        <v>23</v>
      </c>
      <c r="J471" s="974">
        <v>96</v>
      </c>
      <c r="K471" s="974">
        <v>720</v>
      </c>
      <c r="L471" s="974">
        <v>0.9</v>
      </c>
      <c r="M471" s="974">
        <v>900</v>
      </c>
      <c r="N471" s="974">
        <v>100</v>
      </c>
      <c r="O471" s="974">
        <v>2.5</v>
      </c>
      <c r="P471" s="974">
        <v>0.4</v>
      </c>
      <c r="Q471" s="974">
        <v>0.25</v>
      </c>
      <c r="R471" s="974">
        <v>0.32</v>
      </c>
    </row>
    <row r="472" spans="1:18" x14ac:dyDescent="0.35">
      <c r="A472" s="974" t="s">
        <v>2123</v>
      </c>
      <c r="B472" s="974" t="s">
        <v>2147</v>
      </c>
      <c r="C472" s="974">
        <v>545</v>
      </c>
      <c r="D472" s="974">
        <v>-34</v>
      </c>
      <c r="E472" s="974">
        <v>-36</v>
      </c>
      <c r="F472" s="974">
        <v>24</v>
      </c>
      <c r="G472" s="974">
        <v>19</v>
      </c>
      <c r="H472" s="974">
        <v>7600</v>
      </c>
      <c r="I472" s="974">
        <v>17</v>
      </c>
      <c r="J472" s="974">
        <v>80</v>
      </c>
      <c r="K472" s="974">
        <v>580</v>
      </c>
      <c r="L472" s="974">
        <v>0.9</v>
      </c>
      <c r="M472" s="974">
        <v>925</v>
      </c>
      <c r="N472" s="974">
        <v>140</v>
      </c>
      <c r="O472" s="974">
        <v>4.5999999999999996</v>
      </c>
      <c r="P472" s="974">
        <v>0.4</v>
      </c>
      <c r="Q472" s="974">
        <v>0.3</v>
      </c>
      <c r="R472" s="974">
        <v>0.39</v>
      </c>
    </row>
    <row r="473" spans="1:18" x14ac:dyDescent="0.35">
      <c r="A473" s="974" t="s">
        <v>2123</v>
      </c>
      <c r="B473" s="974" t="s">
        <v>2148</v>
      </c>
      <c r="C473" s="974">
        <v>55</v>
      </c>
      <c r="D473" s="974">
        <v>-25</v>
      </c>
      <c r="E473" s="974">
        <v>-26</v>
      </c>
      <c r="F473" s="974">
        <v>26</v>
      </c>
      <c r="G473" s="974">
        <v>20</v>
      </c>
      <c r="H473" s="974">
        <v>5500</v>
      </c>
      <c r="I473" s="974">
        <v>19</v>
      </c>
      <c r="J473" s="974">
        <v>118</v>
      </c>
      <c r="K473" s="974">
        <v>760</v>
      </c>
      <c r="L473" s="974">
        <v>1</v>
      </c>
      <c r="M473" s="974">
        <v>1100</v>
      </c>
      <c r="N473" s="974">
        <v>300</v>
      </c>
      <c r="O473" s="974">
        <v>4.3</v>
      </c>
      <c r="P473" s="974">
        <v>0.6</v>
      </c>
      <c r="Q473" s="974">
        <v>0.37</v>
      </c>
      <c r="R473" s="974">
        <v>0.48</v>
      </c>
    </row>
    <row r="474" spans="1:18" x14ac:dyDescent="0.35">
      <c r="A474" s="974" t="s">
        <v>2123</v>
      </c>
      <c r="B474" s="974" t="s">
        <v>2149</v>
      </c>
      <c r="C474" s="974">
        <v>95</v>
      </c>
      <c r="D474" s="974">
        <v>-25</v>
      </c>
      <c r="E474" s="974">
        <v>-28</v>
      </c>
      <c r="F474" s="974">
        <v>30</v>
      </c>
      <c r="G474" s="974">
        <v>23</v>
      </c>
      <c r="H474" s="974">
        <v>4600</v>
      </c>
      <c r="I474" s="974">
        <v>23</v>
      </c>
      <c r="J474" s="974">
        <v>91</v>
      </c>
      <c r="K474" s="974">
        <v>790</v>
      </c>
      <c r="L474" s="974">
        <v>0.9</v>
      </c>
      <c r="M474" s="974">
        <v>950</v>
      </c>
      <c r="N474" s="974">
        <v>160</v>
      </c>
      <c r="O474" s="974">
        <v>2.5</v>
      </c>
      <c r="P474" s="974">
        <v>0.4</v>
      </c>
      <c r="Q474" s="974">
        <v>0.32</v>
      </c>
      <c r="R474" s="974">
        <v>0.41</v>
      </c>
    </row>
    <row r="475" spans="1:18" x14ac:dyDescent="0.35">
      <c r="A475" s="974" t="s">
        <v>2123</v>
      </c>
      <c r="B475" s="974" t="s">
        <v>2150</v>
      </c>
      <c r="C475" s="974">
        <v>175</v>
      </c>
      <c r="D475" s="974">
        <v>-28</v>
      </c>
      <c r="E475" s="974">
        <v>-31</v>
      </c>
      <c r="F475" s="974">
        <v>30</v>
      </c>
      <c r="G475" s="974">
        <v>23</v>
      </c>
      <c r="H475" s="974">
        <v>5080</v>
      </c>
      <c r="I475" s="974">
        <v>23</v>
      </c>
      <c r="J475" s="974">
        <v>96</v>
      </c>
      <c r="K475" s="974">
        <v>700</v>
      </c>
      <c r="L475" s="974">
        <v>0.9</v>
      </c>
      <c r="M475" s="974">
        <v>950</v>
      </c>
      <c r="N475" s="974">
        <v>140</v>
      </c>
      <c r="O475" s="974">
        <v>2.6</v>
      </c>
      <c r="P475" s="974">
        <v>0.4</v>
      </c>
      <c r="Q475" s="974">
        <v>0.25</v>
      </c>
      <c r="R475" s="974">
        <v>0.32</v>
      </c>
    </row>
    <row r="476" spans="1:18" x14ac:dyDescent="0.35">
      <c r="A476" s="974" t="s">
        <v>2123</v>
      </c>
      <c r="B476" s="974" t="s">
        <v>2151</v>
      </c>
      <c r="C476" s="974">
        <v>120</v>
      </c>
      <c r="D476" s="974">
        <v>-25</v>
      </c>
      <c r="E476" s="974">
        <v>-27</v>
      </c>
      <c r="F476" s="974">
        <v>29</v>
      </c>
      <c r="G476" s="974">
        <v>23</v>
      </c>
      <c r="H476" s="974">
        <v>4500</v>
      </c>
      <c r="I476" s="974">
        <v>23</v>
      </c>
      <c r="J476" s="974">
        <v>102</v>
      </c>
      <c r="K476" s="974">
        <v>940</v>
      </c>
      <c r="L476" s="974">
        <v>1</v>
      </c>
      <c r="M476" s="974">
        <v>1175</v>
      </c>
      <c r="N476" s="974">
        <v>160</v>
      </c>
      <c r="O476" s="974">
        <v>2.2999999999999998</v>
      </c>
      <c r="P476" s="974">
        <v>0.4</v>
      </c>
      <c r="Q476" s="974">
        <v>0.27</v>
      </c>
      <c r="R476" s="974">
        <v>0.35</v>
      </c>
    </row>
    <row r="477" spans="1:18" x14ac:dyDescent="0.35">
      <c r="A477" s="974" t="s">
        <v>2123</v>
      </c>
      <c r="B477" s="974" t="s">
        <v>2152</v>
      </c>
      <c r="C477" s="974">
        <v>30</v>
      </c>
      <c r="D477" s="974">
        <v>-27</v>
      </c>
      <c r="E477" s="974">
        <v>-29</v>
      </c>
      <c r="F477" s="974">
        <v>19</v>
      </c>
      <c r="G477" s="974">
        <v>16</v>
      </c>
      <c r="H477" s="974">
        <v>6150</v>
      </c>
      <c r="I477" s="974">
        <v>15</v>
      </c>
      <c r="J477" s="974">
        <v>96</v>
      </c>
      <c r="K477" s="974">
        <v>900</v>
      </c>
      <c r="L477" s="974">
        <v>1.2</v>
      </c>
      <c r="M477" s="974">
        <v>1150</v>
      </c>
      <c r="N477" s="974">
        <v>300</v>
      </c>
      <c r="O477" s="974">
        <v>4.9000000000000004</v>
      </c>
      <c r="P477" s="974">
        <v>0.6</v>
      </c>
      <c r="Q477" s="974">
        <v>0.56000000000000005</v>
      </c>
      <c r="R477" s="974">
        <v>0.72</v>
      </c>
    </row>
    <row r="478" spans="1:18" x14ac:dyDescent="0.35">
      <c r="A478" s="974" t="s">
        <v>2123</v>
      </c>
      <c r="B478" s="974" t="s">
        <v>2153</v>
      </c>
      <c r="C478" s="974">
        <v>5</v>
      </c>
      <c r="D478" s="974">
        <v>-27</v>
      </c>
      <c r="E478" s="974">
        <v>-29</v>
      </c>
      <c r="F478" s="974">
        <v>22</v>
      </c>
      <c r="G478" s="974">
        <v>18</v>
      </c>
      <c r="H478" s="974">
        <v>6100</v>
      </c>
      <c r="I478" s="974">
        <v>15</v>
      </c>
      <c r="J478" s="974">
        <v>96</v>
      </c>
      <c r="K478" s="974">
        <v>780</v>
      </c>
      <c r="L478" s="974">
        <v>1.1000000000000001</v>
      </c>
      <c r="M478" s="974">
        <v>1125</v>
      </c>
      <c r="N478" s="974">
        <v>300</v>
      </c>
      <c r="O478" s="974">
        <v>4.0999999999999996</v>
      </c>
      <c r="P478" s="974">
        <v>0.6</v>
      </c>
      <c r="Q478" s="974">
        <v>0.49</v>
      </c>
      <c r="R478" s="974">
        <v>0.63</v>
      </c>
    </row>
    <row r="479" spans="1:18" x14ac:dyDescent="0.35">
      <c r="A479" s="974" t="s">
        <v>2123</v>
      </c>
      <c r="B479" s="974" t="s">
        <v>2154</v>
      </c>
      <c r="C479" s="974">
        <v>75</v>
      </c>
      <c r="D479" s="974">
        <v>-24</v>
      </c>
      <c r="E479" s="974">
        <v>-26</v>
      </c>
      <c r="F479" s="974">
        <v>30</v>
      </c>
      <c r="G479" s="974">
        <v>23</v>
      </c>
      <c r="H479" s="974">
        <v>4380</v>
      </c>
      <c r="I479" s="974">
        <v>23</v>
      </c>
      <c r="J479" s="974">
        <v>91</v>
      </c>
      <c r="K479" s="974">
        <v>770</v>
      </c>
      <c r="L479" s="974">
        <v>0.9</v>
      </c>
      <c r="M479" s="974">
        <v>1025</v>
      </c>
      <c r="N479" s="974">
        <v>160</v>
      </c>
      <c r="O479" s="974">
        <v>2.4</v>
      </c>
      <c r="P479" s="974">
        <v>0.4</v>
      </c>
      <c r="Q479" s="974">
        <v>0.31</v>
      </c>
      <c r="R479" s="974">
        <v>0.4</v>
      </c>
    </row>
    <row r="480" spans="1:18" x14ac:dyDescent="0.35">
      <c r="A480" s="974" t="s">
        <v>2123</v>
      </c>
      <c r="B480" s="974" t="s">
        <v>2155</v>
      </c>
      <c r="C480" s="974">
        <v>65</v>
      </c>
      <c r="D480" s="974">
        <v>-25</v>
      </c>
      <c r="E480" s="974">
        <v>-28</v>
      </c>
      <c r="F480" s="974">
        <v>30</v>
      </c>
      <c r="G480" s="974">
        <v>23</v>
      </c>
      <c r="H480" s="974">
        <v>4550</v>
      </c>
      <c r="I480" s="974">
        <v>23</v>
      </c>
      <c r="J480" s="974">
        <v>91</v>
      </c>
      <c r="K480" s="974">
        <v>730</v>
      </c>
      <c r="L480" s="974">
        <v>0.8</v>
      </c>
      <c r="M480" s="974">
        <v>900</v>
      </c>
      <c r="N480" s="974">
        <v>160</v>
      </c>
      <c r="O480" s="974">
        <v>2.4</v>
      </c>
      <c r="P480" s="974">
        <v>0.4</v>
      </c>
      <c r="Q480" s="974">
        <v>0.32</v>
      </c>
      <c r="R480" s="974">
        <v>0.41</v>
      </c>
    </row>
    <row r="481" spans="1:18" x14ac:dyDescent="0.35">
      <c r="A481" s="974" t="s">
        <v>2123</v>
      </c>
      <c r="B481" s="974" t="s">
        <v>2156</v>
      </c>
      <c r="C481" s="974">
        <v>35</v>
      </c>
      <c r="D481" s="974">
        <v>-24</v>
      </c>
      <c r="E481" s="974">
        <v>-26</v>
      </c>
      <c r="F481" s="974">
        <v>29</v>
      </c>
      <c r="G481" s="974">
        <v>23</v>
      </c>
      <c r="H481" s="974">
        <v>4450</v>
      </c>
      <c r="I481" s="974">
        <v>23</v>
      </c>
      <c r="J481" s="974">
        <v>91</v>
      </c>
      <c r="K481" s="974">
        <v>880</v>
      </c>
      <c r="L481" s="974">
        <v>1</v>
      </c>
      <c r="M481" s="974">
        <v>1010</v>
      </c>
      <c r="N481" s="974">
        <v>160</v>
      </c>
      <c r="O481" s="974">
        <v>2.2000000000000002</v>
      </c>
      <c r="P481" s="974">
        <v>0.4</v>
      </c>
      <c r="Q481" s="974">
        <v>0.32</v>
      </c>
      <c r="R481" s="974">
        <v>0.41</v>
      </c>
    </row>
    <row r="482" spans="1:18" x14ac:dyDescent="0.35">
      <c r="A482" s="974" t="s">
        <v>2123</v>
      </c>
      <c r="B482" s="974" t="s">
        <v>2157</v>
      </c>
      <c r="C482" s="974">
        <v>5</v>
      </c>
      <c r="D482" s="974">
        <v>-36</v>
      </c>
      <c r="E482" s="974">
        <v>-38</v>
      </c>
      <c r="F482" s="974">
        <v>21</v>
      </c>
      <c r="G482" s="974">
        <v>15</v>
      </c>
      <c r="H482" s="974">
        <v>9150</v>
      </c>
      <c r="I482" s="974">
        <v>9</v>
      </c>
      <c r="J482" s="974">
        <v>54</v>
      </c>
      <c r="K482" s="974">
        <v>270</v>
      </c>
      <c r="L482" s="974">
        <v>0.9</v>
      </c>
      <c r="M482" s="974">
        <v>420</v>
      </c>
      <c r="N482" s="974">
        <v>240</v>
      </c>
      <c r="O482" s="974">
        <v>4.0999999999999996</v>
      </c>
      <c r="P482" s="974">
        <v>0.2</v>
      </c>
      <c r="Q482" s="974">
        <v>0.37</v>
      </c>
      <c r="R482" s="974">
        <v>0.48</v>
      </c>
    </row>
    <row r="483" spans="1:18" x14ac:dyDescent="0.35">
      <c r="A483" s="974" t="s">
        <v>2123</v>
      </c>
      <c r="B483" s="974" t="s">
        <v>2158</v>
      </c>
      <c r="C483" s="974">
        <v>45</v>
      </c>
      <c r="D483" s="974">
        <v>-26</v>
      </c>
      <c r="E483" s="974">
        <v>-28</v>
      </c>
      <c r="F483" s="974">
        <v>29</v>
      </c>
      <c r="G483" s="974">
        <v>23</v>
      </c>
      <c r="H483" s="974">
        <v>4720</v>
      </c>
      <c r="I483" s="974">
        <v>21</v>
      </c>
      <c r="J483" s="974">
        <v>102</v>
      </c>
      <c r="K483" s="974">
        <v>790</v>
      </c>
      <c r="L483" s="974">
        <v>0.9</v>
      </c>
      <c r="M483" s="974">
        <v>1000</v>
      </c>
      <c r="N483" s="974">
        <v>160</v>
      </c>
      <c r="O483" s="974">
        <v>3.1</v>
      </c>
      <c r="P483" s="974">
        <v>0.4</v>
      </c>
      <c r="Q483" s="974">
        <v>0.28000000000000003</v>
      </c>
      <c r="R483" s="974">
        <v>0.36</v>
      </c>
    </row>
    <row r="484" spans="1:18" x14ac:dyDescent="0.35">
      <c r="A484" s="974" t="s">
        <v>2123</v>
      </c>
      <c r="B484" s="974" t="s">
        <v>2159</v>
      </c>
      <c r="C484" s="974">
        <v>25</v>
      </c>
      <c r="D484" s="974">
        <v>-37</v>
      </c>
      <c r="E484" s="974">
        <v>-39</v>
      </c>
      <c r="F484" s="974">
        <v>24</v>
      </c>
      <c r="G484" s="974">
        <v>17</v>
      </c>
      <c r="H484" s="974">
        <v>8550</v>
      </c>
      <c r="I484" s="974">
        <v>9</v>
      </c>
      <c r="J484" s="974">
        <v>54</v>
      </c>
      <c r="K484" s="974">
        <v>280</v>
      </c>
      <c r="L484" s="974">
        <v>0.8</v>
      </c>
      <c r="M484" s="974">
        <v>525</v>
      </c>
      <c r="N484" s="974">
        <v>260</v>
      </c>
      <c r="O484" s="974">
        <v>4.8</v>
      </c>
      <c r="P484" s="974">
        <v>0.2</v>
      </c>
      <c r="Q484" s="974">
        <v>0.47</v>
      </c>
      <c r="R484" s="974">
        <v>0.6</v>
      </c>
    </row>
    <row r="485" spans="1:18" x14ac:dyDescent="0.35">
      <c r="A485" s="974" t="s">
        <v>2123</v>
      </c>
      <c r="B485" s="974" t="s">
        <v>2160</v>
      </c>
      <c r="C485" s="974">
        <v>20</v>
      </c>
      <c r="D485" s="974">
        <v>-36</v>
      </c>
      <c r="E485" s="974">
        <v>-38</v>
      </c>
      <c r="F485" s="974">
        <v>25</v>
      </c>
      <c r="G485" s="974">
        <v>17</v>
      </c>
      <c r="H485" s="974">
        <v>7990</v>
      </c>
      <c r="I485" s="974">
        <v>12</v>
      </c>
      <c r="J485" s="974">
        <v>80</v>
      </c>
      <c r="K485" s="974">
        <v>410</v>
      </c>
      <c r="L485" s="974">
        <v>0.9</v>
      </c>
      <c r="M485" s="974">
        <v>610</v>
      </c>
      <c r="N485" s="974">
        <v>180</v>
      </c>
      <c r="O485" s="974">
        <v>4.2</v>
      </c>
      <c r="P485" s="974">
        <v>0.3</v>
      </c>
      <c r="Q485" s="974">
        <v>0.37</v>
      </c>
      <c r="R485" s="974">
        <v>0.48</v>
      </c>
    </row>
    <row r="486" spans="1:18" x14ac:dyDescent="0.35">
      <c r="A486" s="974" t="s">
        <v>2123</v>
      </c>
      <c r="B486" s="974" t="s">
        <v>2161</v>
      </c>
      <c r="C486" s="974">
        <v>65</v>
      </c>
      <c r="D486" s="974">
        <v>-26</v>
      </c>
      <c r="E486" s="974">
        <v>-28</v>
      </c>
      <c r="F486" s="974">
        <v>29</v>
      </c>
      <c r="G486" s="974">
        <v>23</v>
      </c>
      <c r="H486" s="974">
        <v>4640</v>
      </c>
      <c r="I486" s="974">
        <v>23</v>
      </c>
      <c r="J486" s="974">
        <v>96</v>
      </c>
      <c r="K486" s="974">
        <v>910</v>
      </c>
      <c r="L486" s="974">
        <v>1</v>
      </c>
      <c r="M486" s="974">
        <v>1075</v>
      </c>
      <c r="N486" s="974">
        <v>160</v>
      </c>
      <c r="O486" s="974">
        <v>2.4</v>
      </c>
      <c r="P486" s="974">
        <v>0.4</v>
      </c>
      <c r="Q486" s="974">
        <v>0.31</v>
      </c>
      <c r="R486" s="974">
        <v>0.4</v>
      </c>
    </row>
    <row r="487" spans="1:18" x14ac:dyDescent="0.35">
      <c r="A487" s="974" t="s">
        <v>2123</v>
      </c>
      <c r="B487" s="974" t="s">
        <v>2162</v>
      </c>
      <c r="C487" s="974">
        <v>420</v>
      </c>
      <c r="D487" s="974">
        <v>-27</v>
      </c>
      <c r="E487" s="974">
        <v>-29</v>
      </c>
      <c r="F487" s="974">
        <v>27</v>
      </c>
      <c r="G487" s="974">
        <v>22</v>
      </c>
      <c r="H487" s="974">
        <v>5180</v>
      </c>
      <c r="I487" s="974">
        <v>23</v>
      </c>
      <c r="J487" s="974">
        <v>91</v>
      </c>
      <c r="K487" s="974">
        <v>790</v>
      </c>
      <c r="L487" s="974">
        <v>0.9</v>
      </c>
      <c r="M487" s="974">
        <v>1025</v>
      </c>
      <c r="N487" s="974">
        <v>160</v>
      </c>
      <c r="O487" s="974">
        <v>3.2</v>
      </c>
      <c r="P487" s="974">
        <v>0.6</v>
      </c>
      <c r="Q487" s="974">
        <v>0.27</v>
      </c>
      <c r="R487" s="974">
        <v>0.35</v>
      </c>
    </row>
    <row r="488" spans="1:18" x14ac:dyDescent="0.35">
      <c r="A488" s="974" t="s">
        <v>2123</v>
      </c>
      <c r="B488" s="974" t="s">
        <v>2163</v>
      </c>
      <c r="C488" s="974">
        <v>25</v>
      </c>
      <c r="D488" s="974">
        <v>-26</v>
      </c>
      <c r="E488" s="974">
        <v>-28</v>
      </c>
      <c r="F488" s="974">
        <v>28</v>
      </c>
      <c r="G488" s="974">
        <v>21</v>
      </c>
      <c r="H488" s="974">
        <v>5400</v>
      </c>
      <c r="I488" s="974">
        <v>18</v>
      </c>
      <c r="J488" s="974">
        <v>102</v>
      </c>
      <c r="K488" s="974">
        <v>640</v>
      </c>
      <c r="L488" s="974">
        <v>0.8</v>
      </c>
      <c r="M488" s="974">
        <v>900</v>
      </c>
      <c r="N488" s="974">
        <v>180</v>
      </c>
      <c r="O488" s="974">
        <v>3.1</v>
      </c>
      <c r="P488" s="974">
        <v>0.6</v>
      </c>
      <c r="Q488" s="974">
        <v>0.37</v>
      </c>
      <c r="R488" s="974">
        <v>0.48</v>
      </c>
    </row>
    <row r="489" spans="1:18" x14ac:dyDescent="0.35">
      <c r="A489" s="974" t="s">
        <v>2123</v>
      </c>
      <c r="B489" s="974" t="s">
        <v>2164</v>
      </c>
      <c r="C489" s="974">
        <v>55</v>
      </c>
      <c r="D489" s="974">
        <v>-24</v>
      </c>
      <c r="E489" s="974">
        <v>-26</v>
      </c>
      <c r="F489" s="974">
        <v>28</v>
      </c>
      <c r="G489" s="974">
        <v>22</v>
      </c>
      <c r="H489" s="974">
        <v>5160</v>
      </c>
      <c r="I489" s="974">
        <v>18</v>
      </c>
      <c r="J489" s="974">
        <v>102</v>
      </c>
      <c r="K489" s="974">
        <v>675</v>
      </c>
      <c r="L489" s="974">
        <v>0.9</v>
      </c>
      <c r="M489" s="974">
        <v>965</v>
      </c>
      <c r="N489" s="974">
        <v>180</v>
      </c>
      <c r="O489" s="974">
        <v>3.2</v>
      </c>
      <c r="P489" s="974">
        <v>0.6</v>
      </c>
      <c r="Q489" s="974">
        <v>0.39</v>
      </c>
      <c r="R489" s="974">
        <v>0.5</v>
      </c>
    </row>
    <row r="490" spans="1:18" x14ac:dyDescent="0.35">
      <c r="A490" s="974" t="s">
        <v>2123</v>
      </c>
      <c r="B490" s="974" t="s">
        <v>2165</v>
      </c>
      <c r="C490" s="974">
        <v>165</v>
      </c>
      <c r="D490" s="974">
        <v>-30</v>
      </c>
      <c r="E490" s="974">
        <v>-32</v>
      </c>
      <c r="F490" s="974">
        <v>29</v>
      </c>
      <c r="G490" s="974">
        <v>22</v>
      </c>
      <c r="H490" s="974">
        <v>5500</v>
      </c>
      <c r="I490" s="974">
        <v>23</v>
      </c>
      <c r="J490" s="974">
        <v>96</v>
      </c>
      <c r="K490" s="974">
        <v>720</v>
      </c>
      <c r="L490" s="974">
        <v>0.9</v>
      </c>
      <c r="M490" s="974">
        <v>930</v>
      </c>
      <c r="N490" s="974">
        <v>160</v>
      </c>
      <c r="O490" s="974">
        <v>3.4</v>
      </c>
      <c r="P490" s="974">
        <v>0.4</v>
      </c>
      <c r="Q490" s="974">
        <v>0.27</v>
      </c>
      <c r="R490" s="974">
        <v>0.35</v>
      </c>
    </row>
    <row r="491" spans="1:18" x14ac:dyDescent="0.35">
      <c r="A491" s="974" t="s">
        <v>2123</v>
      </c>
      <c r="B491" s="974" t="s">
        <v>2166</v>
      </c>
      <c r="C491" s="974">
        <v>155</v>
      </c>
      <c r="D491" s="974">
        <v>-28</v>
      </c>
      <c r="E491" s="974">
        <v>-30</v>
      </c>
      <c r="F491" s="974">
        <v>29</v>
      </c>
      <c r="G491" s="974">
        <v>22</v>
      </c>
      <c r="H491" s="974">
        <v>4700</v>
      </c>
      <c r="I491" s="974">
        <v>23</v>
      </c>
      <c r="J491" s="974">
        <v>96</v>
      </c>
      <c r="K491" s="974">
        <v>850</v>
      </c>
      <c r="L491" s="974">
        <v>1</v>
      </c>
      <c r="M491" s="974">
        <v>1100</v>
      </c>
      <c r="N491" s="974">
        <v>160</v>
      </c>
      <c r="O491" s="974">
        <v>2.1</v>
      </c>
      <c r="P491" s="974">
        <v>0.6</v>
      </c>
      <c r="Q491" s="974">
        <v>0.25</v>
      </c>
      <c r="R491" s="974">
        <v>0.32</v>
      </c>
    </row>
    <row r="492" spans="1:18" x14ac:dyDescent="0.35">
      <c r="A492" s="974" t="s">
        <v>2123</v>
      </c>
      <c r="B492" s="974" t="s">
        <v>2167</v>
      </c>
      <c r="C492" s="974">
        <v>30</v>
      </c>
      <c r="D492" s="974">
        <v>-24</v>
      </c>
      <c r="E492" s="974">
        <v>-26</v>
      </c>
      <c r="F492" s="974">
        <v>29</v>
      </c>
      <c r="G492" s="974">
        <v>23</v>
      </c>
      <c r="H492" s="974">
        <v>4420</v>
      </c>
      <c r="I492" s="974">
        <v>23</v>
      </c>
      <c r="J492" s="974">
        <v>91</v>
      </c>
      <c r="K492" s="974">
        <v>800</v>
      </c>
      <c r="L492" s="974">
        <v>0.9</v>
      </c>
      <c r="M492" s="974">
        <v>950</v>
      </c>
      <c r="N492" s="974">
        <v>180</v>
      </c>
      <c r="O492" s="974">
        <v>2.2999999999999998</v>
      </c>
      <c r="P492" s="974">
        <v>0.4</v>
      </c>
      <c r="Q492" s="974">
        <v>0.33</v>
      </c>
      <c r="R492" s="974">
        <v>0.42</v>
      </c>
    </row>
    <row r="493" spans="1:18" x14ac:dyDescent="0.35">
      <c r="A493" s="974" t="s">
        <v>2123</v>
      </c>
      <c r="B493" s="974" t="s">
        <v>2168</v>
      </c>
      <c r="C493" s="974">
        <v>100</v>
      </c>
      <c r="D493" s="974">
        <v>-26</v>
      </c>
      <c r="E493" s="974">
        <v>-29</v>
      </c>
      <c r="F493" s="974">
        <v>28</v>
      </c>
      <c r="G493" s="974">
        <v>22</v>
      </c>
      <c r="H493" s="974">
        <v>5200</v>
      </c>
      <c r="I493" s="974">
        <v>20</v>
      </c>
      <c r="J493" s="974">
        <v>102</v>
      </c>
      <c r="K493" s="974">
        <v>980</v>
      </c>
      <c r="L493" s="974">
        <v>1.1000000000000001</v>
      </c>
      <c r="M493" s="974">
        <v>1225</v>
      </c>
      <c r="N493" s="974">
        <v>200</v>
      </c>
      <c r="O493" s="974">
        <v>3.7</v>
      </c>
      <c r="P493" s="974">
        <v>0.6</v>
      </c>
      <c r="Q493" s="974">
        <v>0.32</v>
      </c>
      <c r="R493" s="974">
        <v>0.41</v>
      </c>
    </row>
    <row r="494" spans="1:18" x14ac:dyDescent="0.35">
      <c r="A494" s="974" t="s">
        <v>2123</v>
      </c>
      <c r="B494" s="974" t="s">
        <v>2169</v>
      </c>
      <c r="C494" s="974">
        <v>15</v>
      </c>
      <c r="D494" s="974">
        <v>-25</v>
      </c>
      <c r="E494" s="974">
        <v>-28</v>
      </c>
      <c r="F494" s="974">
        <v>29</v>
      </c>
      <c r="G494" s="974">
        <v>23</v>
      </c>
      <c r="H494" s="974">
        <v>4900</v>
      </c>
      <c r="I494" s="974">
        <v>20</v>
      </c>
      <c r="J494" s="974">
        <v>102</v>
      </c>
      <c r="K494" s="974">
        <v>800</v>
      </c>
      <c r="L494" s="974">
        <v>0.9</v>
      </c>
      <c r="M494" s="974">
        <v>1025</v>
      </c>
      <c r="N494" s="974">
        <v>160</v>
      </c>
      <c r="O494" s="974">
        <v>2.9</v>
      </c>
      <c r="P494" s="974">
        <v>0.4</v>
      </c>
      <c r="Q494" s="974">
        <v>0.34</v>
      </c>
      <c r="R494" s="974">
        <v>0.43</v>
      </c>
    </row>
    <row r="495" spans="1:18" x14ac:dyDescent="0.35">
      <c r="A495" s="974" t="s">
        <v>2123</v>
      </c>
      <c r="B495" s="974" t="s">
        <v>2170</v>
      </c>
      <c r="C495" s="974">
        <v>215</v>
      </c>
      <c r="D495" s="974">
        <v>-26</v>
      </c>
      <c r="E495" s="974">
        <v>-28</v>
      </c>
      <c r="F495" s="974">
        <v>29</v>
      </c>
      <c r="G495" s="974">
        <v>23</v>
      </c>
      <c r="H495" s="974">
        <v>4730</v>
      </c>
      <c r="I495" s="974">
        <v>23</v>
      </c>
      <c r="J495" s="974">
        <v>96</v>
      </c>
      <c r="K495" s="974">
        <v>860</v>
      </c>
      <c r="L495" s="974">
        <v>1</v>
      </c>
      <c r="M495" s="974">
        <v>1125</v>
      </c>
      <c r="N495" s="974">
        <v>160</v>
      </c>
      <c r="O495" s="974">
        <v>2.2999999999999998</v>
      </c>
      <c r="P495" s="974">
        <v>0.4</v>
      </c>
      <c r="Q495" s="974">
        <v>0.27</v>
      </c>
      <c r="R495" s="974">
        <v>0.35</v>
      </c>
    </row>
    <row r="496" spans="1:18" x14ac:dyDescent="0.35">
      <c r="A496" s="974" t="s">
        <v>2123</v>
      </c>
      <c r="B496" s="974" t="s">
        <v>2171</v>
      </c>
      <c r="C496" s="974">
        <v>325</v>
      </c>
      <c r="D496" s="974">
        <v>-33</v>
      </c>
      <c r="E496" s="974">
        <v>-36</v>
      </c>
      <c r="F496" s="974">
        <v>29</v>
      </c>
      <c r="G496" s="974">
        <v>21</v>
      </c>
      <c r="H496" s="974">
        <v>6200</v>
      </c>
      <c r="I496" s="974">
        <v>20</v>
      </c>
      <c r="J496" s="974">
        <v>86</v>
      </c>
      <c r="K496" s="974">
        <v>640</v>
      </c>
      <c r="L496" s="974">
        <v>0.8</v>
      </c>
      <c r="M496" s="974">
        <v>900</v>
      </c>
      <c r="N496" s="974">
        <v>100</v>
      </c>
      <c r="O496" s="974">
        <v>3.3</v>
      </c>
      <c r="P496" s="974">
        <v>0.3</v>
      </c>
      <c r="Q496" s="974">
        <v>0.25</v>
      </c>
      <c r="R496" s="974">
        <v>0.32</v>
      </c>
    </row>
    <row r="497" spans="1:18" x14ac:dyDescent="0.35">
      <c r="A497" s="974" t="s">
        <v>2123</v>
      </c>
      <c r="B497" s="974" t="s">
        <v>2172</v>
      </c>
      <c r="C497" s="974">
        <v>180</v>
      </c>
      <c r="D497" s="974">
        <v>-30</v>
      </c>
      <c r="E497" s="974">
        <v>-32</v>
      </c>
      <c r="F497" s="974">
        <v>29</v>
      </c>
      <c r="G497" s="974">
        <v>22</v>
      </c>
      <c r="H497" s="974">
        <v>5280</v>
      </c>
      <c r="I497" s="974">
        <v>23</v>
      </c>
      <c r="J497" s="974">
        <v>96</v>
      </c>
      <c r="K497" s="974">
        <v>700</v>
      </c>
      <c r="L497" s="974">
        <v>0.9</v>
      </c>
      <c r="M497" s="974">
        <v>900</v>
      </c>
      <c r="N497" s="974">
        <v>100</v>
      </c>
      <c r="O497" s="974">
        <v>2.4</v>
      </c>
      <c r="P497" s="974">
        <v>0.4</v>
      </c>
      <c r="Q497" s="974">
        <v>0.24</v>
      </c>
      <c r="R497" s="974">
        <v>0.31</v>
      </c>
    </row>
    <row r="498" spans="1:18" x14ac:dyDescent="0.35">
      <c r="A498" s="974" t="s">
        <v>2123</v>
      </c>
      <c r="B498" s="974" t="s">
        <v>2173</v>
      </c>
      <c r="C498" s="974">
        <v>50</v>
      </c>
      <c r="D498" s="974">
        <v>-26</v>
      </c>
      <c r="E498" s="974">
        <v>-28</v>
      </c>
      <c r="F498" s="974">
        <v>30</v>
      </c>
      <c r="G498" s="974">
        <v>23</v>
      </c>
      <c r="H498" s="974">
        <v>4610</v>
      </c>
      <c r="I498" s="974">
        <v>23</v>
      </c>
      <c r="J498" s="974">
        <v>91</v>
      </c>
      <c r="K498" s="974">
        <v>790</v>
      </c>
      <c r="L498" s="974">
        <v>0.9</v>
      </c>
      <c r="M498" s="974">
        <v>975</v>
      </c>
      <c r="N498" s="974">
        <v>160</v>
      </c>
      <c r="O498" s="974">
        <v>2.4</v>
      </c>
      <c r="P498" s="974">
        <v>0.4</v>
      </c>
      <c r="Q498" s="974">
        <v>0.31</v>
      </c>
      <c r="R498" s="974">
        <v>0.4</v>
      </c>
    </row>
    <row r="499" spans="1:18" x14ac:dyDescent="0.35">
      <c r="A499" s="974" t="s">
        <v>2123</v>
      </c>
      <c r="B499" s="974" t="s">
        <v>2174</v>
      </c>
      <c r="C499" s="974">
        <v>5</v>
      </c>
      <c r="D499" s="974">
        <v>-24</v>
      </c>
      <c r="E499" s="974">
        <v>-26</v>
      </c>
      <c r="F499" s="974">
        <v>24</v>
      </c>
      <c r="G499" s="974">
        <v>20</v>
      </c>
      <c r="H499" s="974">
        <v>5510</v>
      </c>
      <c r="I499" s="974">
        <v>18</v>
      </c>
      <c r="J499" s="974">
        <v>91</v>
      </c>
      <c r="K499" s="974">
        <v>640</v>
      </c>
      <c r="L499" s="974">
        <v>0.9</v>
      </c>
      <c r="M499" s="974">
        <v>1050</v>
      </c>
      <c r="N499" s="974">
        <v>220</v>
      </c>
      <c r="O499" s="974">
        <v>3.7</v>
      </c>
      <c r="P499" s="974">
        <v>0.4</v>
      </c>
      <c r="Q499" s="974">
        <v>0.43</v>
      </c>
      <c r="R499" s="974">
        <v>0.55000000000000004</v>
      </c>
    </row>
    <row r="500" spans="1:18" x14ac:dyDescent="0.35">
      <c r="A500" s="974" t="s">
        <v>2123</v>
      </c>
      <c r="B500" s="974" t="s">
        <v>2175</v>
      </c>
      <c r="C500" s="974">
        <v>90</v>
      </c>
      <c r="D500" s="974">
        <v>-24</v>
      </c>
      <c r="E500" s="974">
        <v>-26</v>
      </c>
      <c r="F500" s="974">
        <v>26</v>
      </c>
      <c r="G500" s="974">
        <v>21</v>
      </c>
      <c r="H500" s="974">
        <v>5370</v>
      </c>
      <c r="I500" s="974">
        <v>18</v>
      </c>
      <c r="J500" s="974">
        <v>91</v>
      </c>
      <c r="K500" s="974">
        <v>610</v>
      </c>
      <c r="L500" s="974">
        <v>0.8</v>
      </c>
      <c r="M500" s="974">
        <v>920</v>
      </c>
      <c r="N500" s="974">
        <v>220</v>
      </c>
      <c r="O500" s="974">
        <v>4.0999999999999996</v>
      </c>
      <c r="P500" s="974">
        <v>0.4</v>
      </c>
      <c r="Q500" s="974">
        <v>0.41</v>
      </c>
      <c r="R500" s="974">
        <v>0.52</v>
      </c>
    </row>
    <row r="501" spans="1:18" x14ac:dyDescent="0.35">
      <c r="A501" s="974" t="s">
        <v>2123</v>
      </c>
      <c r="B501" s="974" t="s">
        <v>2176</v>
      </c>
      <c r="C501" s="974">
        <v>225</v>
      </c>
      <c r="D501" s="974">
        <v>-29</v>
      </c>
      <c r="E501" s="974">
        <v>-32</v>
      </c>
      <c r="F501" s="974">
        <v>29</v>
      </c>
      <c r="G501" s="974">
        <v>22</v>
      </c>
      <c r="H501" s="974">
        <v>5320</v>
      </c>
      <c r="I501" s="974">
        <v>24</v>
      </c>
      <c r="J501" s="974">
        <v>102</v>
      </c>
      <c r="K501" s="974">
        <v>790</v>
      </c>
      <c r="L501" s="974">
        <v>0.9</v>
      </c>
      <c r="M501" s="974">
        <v>1000</v>
      </c>
      <c r="N501" s="974">
        <v>160</v>
      </c>
      <c r="O501" s="974">
        <v>2.6</v>
      </c>
      <c r="P501" s="974">
        <v>0.4</v>
      </c>
      <c r="Q501" s="974">
        <v>0.23</v>
      </c>
      <c r="R501" s="974">
        <v>0.3</v>
      </c>
    </row>
    <row r="502" spans="1:18" x14ac:dyDescent="0.35">
      <c r="A502" s="974" t="s">
        <v>2123</v>
      </c>
      <c r="B502" s="974" t="s">
        <v>2177</v>
      </c>
      <c r="C502" s="974">
        <v>10</v>
      </c>
      <c r="D502" s="974">
        <v>-25</v>
      </c>
      <c r="E502" s="974">
        <v>-28</v>
      </c>
      <c r="F502" s="974">
        <v>28</v>
      </c>
      <c r="G502" s="974">
        <v>22</v>
      </c>
      <c r="H502" s="974">
        <v>5090</v>
      </c>
      <c r="I502" s="974">
        <v>20</v>
      </c>
      <c r="J502" s="974">
        <v>102</v>
      </c>
      <c r="K502" s="974">
        <v>880</v>
      </c>
      <c r="L502" s="974">
        <v>1</v>
      </c>
      <c r="M502" s="974">
        <v>1090</v>
      </c>
      <c r="N502" s="974">
        <v>180</v>
      </c>
      <c r="O502" s="974">
        <v>2.9</v>
      </c>
      <c r="P502" s="974">
        <v>0.6</v>
      </c>
      <c r="Q502" s="974">
        <v>0.37</v>
      </c>
      <c r="R502" s="974">
        <v>0.47</v>
      </c>
    </row>
    <row r="503" spans="1:18" x14ac:dyDescent="0.35">
      <c r="A503" s="974" t="s">
        <v>2123</v>
      </c>
      <c r="B503" s="974" t="s">
        <v>2178</v>
      </c>
      <c r="C503" s="974">
        <v>25</v>
      </c>
      <c r="D503" s="974">
        <v>-24</v>
      </c>
      <c r="E503" s="974">
        <v>-26</v>
      </c>
      <c r="F503" s="974">
        <v>30</v>
      </c>
      <c r="G503" s="974">
        <v>23</v>
      </c>
      <c r="H503" s="974">
        <v>4440</v>
      </c>
      <c r="I503" s="974">
        <v>23</v>
      </c>
      <c r="J503" s="974">
        <v>91</v>
      </c>
      <c r="K503" s="974">
        <v>780</v>
      </c>
      <c r="L503" s="974">
        <v>0.9</v>
      </c>
      <c r="M503" s="974">
        <v>950</v>
      </c>
      <c r="N503" s="974">
        <v>180</v>
      </c>
      <c r="O503" s="974">
        <v>2.2999999999999998</v>
      </c>
      <c r="P503" s="974">
        <v>0.4</v>
      </c>
      <c r="Q503" s="974">
        <v>0.33</v>
      </c>
      <c r="R503" s="974">
        <v>0.42</v>
      </c>
    </row>
    <row r="504" spans="1:18" x14ac:dyDescent="0.35">
      <c r="A504" s="974" t="s">
        <v>2123</v>
      </c>
      <c r="B504" s="974" t="s">
        <v>2179</v>
      </c>
      <c r="C504" s="974">
        <v>25</v>
      </c>
      <c r="D504" s="974">
        <v>-24</v>
      </c>
      <c r="E504" s="974">
        <v>-26</v>
      </c>
      <c r="F504" s="974">
        <v>30</v>
      </c>
      <c r="G504" s="974">
        <v>23</v>
      </c>
      <c r="H504" s="974">
        <v>4400</v>
      </c>
      <c r="I504" s="974">
        <v>23</v>
      </c>
      <c r="J504" s="974">
        <v>91</v>
      </c>
      <c r="K504" s="974">
        <v>760</v>
      </c>
      <c r="L504" s="974">
        <v>0.9</v>
      </c>
      <c r="M504" s="974">
        <v>940</v>
      </c>
      <c r="N504" s="974">
        <v>180</v>
      </c>
      <c r="O504" s="974">
        <v>2.4</v>
      </c>
      <c r="P504" s="974">
        <v>0.4</v>
      </c>
      <c r="Q504" s="974">
        <v>0.34</v>
      </c>
      <c r="R504" s="974">
        <v>0.44</v>
      </c>
    </row>
    <row r="505" spans="1:18" x14ac:dyDescent="0.35">
      <c r="A505" s="974" t="s">
        <v>2123</v>
      </c>
      <c r="B505" s="974" t="s">
        <v>2180</v>
      </c>
      <c r="C505" s="974">
        <v>35</v>
      </c>
      <c r="D505" s="974">
        <v>-24</v>
      </c>
      <c r="E505" s="974">
        <v>-26</v>
      </c>
      <c r="F505" s="974">
        <v>29</v>
      </c>
      <c r="G505" s="974">
        <v>23</v>
      </c>
      <c r="H505" s="974">
        <v>4500</v>
      </c>
      <c r="I505" s="974">
        <v>23</v>
      </c>
      <c r="J505" s="974">
        <v>96</v>
      </c>
      <c r="K505" s="974">
        <v>830</v>
      </c>
      <c r="L505" s="974">
        <v>0.9</v>
      </c>
      <c r="M505" s="974">
        <v>1025</v>
      </c>
      <c r="N505" s="974">
        <v>160</v>
      </c>
      <c r="O505" s="974">
        <v>2.6</v>
      </c>
      <c r="P505" s="974">
        <v>0.4</v>
      </c>
      <c r="Q505" s="974">
        <v>0.33</v>
      </c>
      <c r="R505" s="974">
        <v>0.42</v>
      </c>
    </row>
    <row r="506" spans="1:18" x14ac:dyDescent="0.35">
      <c r="A506" s="974" t="s">
        <v>2123</v>
      </c>
      <c r="B506" s="974" t="s">
        <v>2181</v>
      </c>
      <c r="C506" s="974">
        <v>20</v>
      </c>
      <c r="D506" s="974">
        <v>-23</v>
      </c>
      <c r="E506" s="974">
        <v>-26</v>
      </c>
      <c r="F506" s="974">
        <v>30</v>
      </c>
      <c r="G506" s="974">
        <v>23</v>
      </c>
      <c r="H506" s="974">
        <v>4200</v>
      </c>
      <c r="I506" s="974">
        <v>23</v>
      </c>
      <c r="J506" s="974">
        <v>96</v>
      </c>
      <c r="K506" s="974">
        <v>830</v>
      </c>
      <c r="L506" s="974">
        <v>0.93</v>
      </c>
      <c r="M506" s="974">
        <v>1025</v>
      </c>
      <c r="N506" s="974">
        <v>180</v>
      </c>
      <c r="O506" s="974">
        <v>2.6</v>
      </c>
      <c r="P506" s="974">
        <v>0.4</v>
      </c>
      <c r="Q506" s="974">
        <v>0.34</v>
      </c>
      <c r="R506" s="974">
        <v>0.44</v>
      </c>
    </row>
    <row r="507" spans="1:18" x14ac:dyDescent="0.35">
      <c r="A507" s="974" t="s">
        <v>2123</v>
      </c>
      <c r="B507" s="974" t="s">
        <v>2182</v>
      </c>
      <c r="C507" s="974">
        <v>25</v>
      </c>
      <c r="D507" s="974">
        <v>-23</v>
      </c>
      <c r="E507" s="974">
        <v>-26</v>
      </c>
      <c r="F507" s="974">
        <v>30</v>
      </c>
      <c r="G507" s="974">
        <v>23</v>
      </c>
      <c r="H507" s="974">
        <v>4470</v>
      </c>
      <c r="I507" s="974">
        <v>23</v>
      </c>
      <c r="J507" s="974">
        <v>96</v>
      </c>
      <c r="K507" s="974">
        <v>830</v>
      </c>
      <c r="L507" s="974">
        <v>0.93</v>
      </c>
      <c r="M507" s="974">
        <v>1025</v>
      </c>
      <c r="N507" s="974">
        <v>180</v>
      </c>
      <c r="O507" s="974">
        <v>2.7</v>
      </c>
      <c r="P507" s="974">
        <v>0.4</v>
      </c>
      <c r="Q507" s="974">
        <v>0.34</v>
      </c>
      <c r="R507" s="974">
        <v>0.44</v>
      </c>
    </row>
    <row r="508" spans="1:18" x14ac:dyDescent="0.35">
      <c r="A508" s="974" t="s">
        <v>2123</v>
      </c>
      <c r="B508" s="974" t="s">
        <v>2183</v>
      </c>
      <c r="C508" s="974">
        <v>20</v>
      </c>
      <c r="D508" s="974">
        <v>-24</v>
      </c>
      <c r="E508" s="974">
        <v>-26</v>
      </c>
      <c r="F508" s="974">
        <v>30</v>
      </c>
      <c r="G508" s="974">
        <v>23</v>
      </c>
      <c r="H508" s="974">
        <v>4470</v>
      </c>
      <c r="I508" s="974">
        <v>23</v>
      </c>
      <c r="J508" s="974">
        <v>96</v>
      </c>
      <c r="K508" s="974">
        <v>830</v>
      </c>
      <c r="L508" s="974">
        <v>0.93</v>
      </c>
      <c r="M508" s="974">
        <v>1025</v>
      </c>
      <c r="N508" s="974">
        <v>160</v>
      </c>
      <c r="O508" s="974">
        <v>2.6</v>
      </c>
      <c r="P508" s="974">
        <v>0.4</v>
      </c>
      <c r="Q508" s="974">
        <v>0.33</v>
      </c>
      <c r="R508" s="974">
        <v>0.42</v>
      </c>
    </row>
    <row r="509" spans="1:18" x14ac:dyDescent="0.35">
      <c r="A509" s="974" t="s">
        <v>2123</v>
      </c>
      <c r="B509" s="974" t="s">
        <v>2184</v>
      </c>
      <c r="C509" s="974">
        <v>105</v>
      </c>
      <c r="D509" s="974">
        <v>-23</v>
      </c>
      <c r="E509" s="974">
        <v>-26</v>
      </c>
      <c r="F509" s="974">
        <v>30</v>
      </c>
      <c r="G509" s="974">
        <v>23</v>
      </c>
      <c r="H509" s="974">
        <v>4300</v>
      </c>
      <c r="I509" s="974">
        <v>23</v>
      </c>
      <c r="J509" s="974">
        <v>96</v>
      </c>
      <c r="K509" s="974">
        <v>820</v>
      </c>
      <c r="L509" s="974">
        <v>0.91</v>
      </c>
      <c r="M509" s="974">
        <v>1025</v>
      </c>
      <c r="N509" s="974">
        <v>180</v>
      </c>
      <c r="O509" s="974">
        <v>2.8</v>
      </c>
      <c r="P509" s="974">
        <v>0.4</v>
      </c>
      <c r="Q509" s="974">
        <v>0.34</v>
      </c>
      <c r="R509" s="974">
        <v>0.44</v>
      </c>
    </row>
    <row r="510" spans="1:18" x14ac:dyDescent="0.35">
      <c r="A510" s="974" t="s">
        <v>2123</v>
      </c>
      <c r="B510" s="974" t="s">
        <v>2185</v>
      </c>
      <c r="C510" s="974">
        <v>25</v>
      </c>
      <c r="D510" s="974">
        <v>-24</v>
      </c>
      <c r="E510" s="974">
        <v>-26</v>
      </c>
      <c r="F510" s="974">
        <v>30</v>
      </c>
      <c r="G510" s="974">
        <v>23</v>
      </c>
      <c r="H510" s="974">
        <v>4430</v>
      </c>
      <c r="I510" s="974">
        <v>23</v>
      </c>
      <c r="J510" s="974">
        <v>96</v>
      </c>
      <c r="K510" s="974">
        <v>800</v>
      </c>
      <c r="L510" s="974">
        <v>0.9</v>
      </c>
      <c r="M510" s="974">
        <v>960</v>
      </c>
      <c r="N510" s="974">
        <v>180</v>
      </c>
      <c r="O510" s="974">
        <v>2.4</v>
      </c>
      <c r="P510" s="974">
        <v>0.4</v>
      </c>
      <c r="Q510" s="974">
        <v>0.33</v>
      </c>
      <c r="R510" s="974">
        <v>0.42</v>
      </c>
    </row>
    <row r="511" spans="1:18" x14ac:dyDescent="0.35">
      <c r="A511" s="974" t="s">
        <v>2123</v>
      </c>
      <c r="B511" s="974" t="s">
        <v>2186</v>
      </c>
      <c r="C511" s="974">
        <v>35</v>
      </c>
      <c r="D511" s="974">
        <v>-24</v>
      </c>
      <c r="E511" s="974">
        <v>-26</v>
      </c>
      <c r="F511" s="974">
        <v>29</v>
      </c>
      <c r="G511" s="974">
        <v>23</v>
      </c>
      <c r="H511" s="974">
        <v>4460</v>
      </c>
      <c r="I511" s="974">
        <v>23</v>
      </c>
      <c r="J511" s="974">
        <v>96</v>
      </c>
      <c r="K511" s="974">
        <v>780</v>
      </c>
      <c r="L511" s="974">
        <v>0.9</v>
      </c>
      <c r="M511" s="974">
        <v>960</v>
      </c>
      <c r="N511" s="974">
        <v>180</v>
      </c>
      <c r="O511" s="974">
        <v>2.2999999999999998</v>
      </c>
      <c r="P511" s="974">
        <v>0.4</v>
      </c>
      <c r="Q511" s="974">
        <v>0.33</v>
      </c>
      <c r="R511" s="974">
        <v>0.42</v>
      </c>
    </row>
    <row r="512" spans="1:18" x14ac:dyDescent="0.35">
      <c r="A512" s="974" t="s">
        <v>2123</v>
      </c>
      <c r="B512" s="974" t="s">
        <v>2187</v>
      </c>
      <c r="C512" s="974">
        <v>15</v>
      </c>
      <c r="D512" s="974">
        <v>-23</v>
      </c>
      <c r="E512" s="974">
        <v>-26</v>
      </c>
      <c r="F512" s="974">
        <v>30</v>
      </c>
      <c r="G512" s="974">
        <v>23</v>
      </c>
      <c r="H512" s="974">
        <v>4400</v>
      </c>
      <c r="I512" s="974">
        <v>23</v>
      </c>
      <c r="J512" s="974">
        <v>96</v>
      </c>
      <c r="K512" s="974">
        <v>810</v>
      </c>
      <c r="L512" s="974">
        <v>0.91</v>
      </c>
      <c r="M512" s="974">
        <v>1050</v>
      </c>
      <c r="N512" s="974">
        <v>160</v>
      </c>
      <c r="O512" s="974">
        <v>2.5</v>
      </c>
      <c r="P512" s="974">
        <v>0.4</v>
      </c>
      <c r="Q512" s="974">
        <v>0.34</v>
      </c>
      <c r="R512" s="974">
        <v>0.44</v>
      </c>
    </row>
    <row r="513" spans="1:18" x14ac:dyDescent="0.35">
      <c r="A513" s="974" t="s">
        <v>2123</v>
      </c>
      <c r="B513" s="974" t="s">
        <v>2188</v>
      </c>
      <c r="C513" s="974">
        <v>45</v>
      </c>
      <c r="D513" s="974">
        <v>-23</v>
      </c>
      <c r="E513" s="974">
        <v>-26</v>
      </c>
      <c r="F513" s="974">
        <v>30</v>
      </c>
      <c r="G513" s="974">
        <v>23</v>
      </c>
      <c r="H513" s="974">
        <v>4270</v>
      </c>
      <c r="I513" s="974">
        <v>23</v>
      </c>
      <c r="J513" s="974">
        <v>96</v>
      </c>
      <c r="K513" s="974">
        <v>790</v>
      </c>
      <c r="L513" s="974">
        <v>0.89</v>
      </c>
      <c r="M513" s="974">
        <v>950</v>
      </c>
      <c r="N513" s="974">
        <v>160</v>
      </c>
      <c r="O513" s="974">
        <v>2.5</v>
      </c>
      <c r="P513" s="974">
        <v>0.4</v>
      </c>
      <c r="Q513" s="974">
        <v>0.34</v>
      </c>
      <c r="R513" s="974">
        <v>0.44</v>
      </c>
    </row>
    <row r="514" spans="1:18" x14ac:dyDescent="0.35">
      <c r="A514" s="974" t="s">
        <v>2123</v>
      </c>
      <c r="B514" s="974" t="s">
        <v>2189</v>
      </c>
      <c r="C514" s="974">
        <v>20</v>
      </c>
      <c r="D514" s="974">
        <v>-23</v>
      </c>
      <c r="E514" s="974">
        <v>-26</v>
      </c>
      <c r="F514" s="974">
        <v>30</v>
      </c>
      <c r="G514" s="974">
        <v>23</v>
      </c>
      <c r="H514" s="974">
        <v>4200</v>
      </c>
      <c r="I514" s="974">
        <v>23</v>
      </c>
      <c r="J514" s="974">
        <v>91</v>
      </c>
      <c r="K514" s="974">
        <v>780</v>
      </c>
      <c r="L514" s="974">
        <v>0.9</v>
      </c>
      <c r="M514" s="974">
        <v>1025</v>
      </c>
      <c r="N514" s="974">
        <v>180</v>
      </c>
      <c r="O514" s="974">
        <v>2.5</v>
      </c>
      <c r="P514" s="974">
        <v>0.4</v>
      </c>
      <c r="Q514" s="974">
        <v>0.34</v>
      </c>
      <c r="R514" s="974">
        <v>0.44</v>
      </c>
    </row>
    <row r="515" spans="1:18" x14ac:dyDescent="0.35">
      <c r="A515" s="974" t="s">
        <v>2123</v>
      </c>
      <c r="B515" s="974" t="s">
        <v>2190</v>
      </c>
      <c r="C515" s="974">
        <v>15</v>
      </c>
      <c r="D515" s="974">
        <v>-25</v>
      </c>
      <c r="E515" s="974">
        <v>-28</v>
      </c>
      <c r="F515" s="974">
        <v>29</v>
      </c>
      <c r="G515" s="974">
        <v>23</v>
      </c>
      <c r="H515" s="974">
        <v>4900</v>
      </c>
      <c r="I515" s="974">
        <v>20</v>
      </c>
      <c r="J515" s="974">
        <v>107</v>
      </c>
      <c r="K515" s="974">
        <v>860</v>
      </c>
      <c r="L515" s="974">
        <v>1</v>
      </c>
      <c r="M515" s="974">
        <v>1025</v>
      </c>
      <c r="N515" s="974">
        <v>160</v>
      </c>
      <c r="O515" s="974">
        <v>2.8</v>
      </c>
      <c r="P515" s="974">
        <v>0.4</v>
      </c>
      <c r="Q515" s="974">
        <v>0.33</v>
      </c>
      <c r="R515" s="974">
        <v>0.42</v>
      </c>
    </row>
    <row r="516" spans="1:18" x14ac:dyDescent="0.35">
      <c r="A516" s="974" t="s">
        <v>2123</v>
      </c>
      <c r="B516" s="974" t="s">
        <v>2191</v>
      </c>
      <c r="C516" s="974">
        <v>545</v>
      </c>
      <c r="D516" s="974">
        <v>-39</v>
      </c>
      <c r="E516" s="974">
        <v>-41</v>
      </c>
      <c r="F516" s="974">
        <v>23</v>
      </c>
      <c r="G516" s="974">
        <v>19</v>
      </c>
      <c r="H516" s="974">
        <v>8100</v>
      </c>
      <c r="I516" s="974">
        <v>15</v>
      </c>
      <c r="J516" s="974">
        <v>70</v>
      </c>
      <c r="K516" s="974">
        <v>500</v>
      </c>
      <c r="L516" s="974">
        <v>0.9</v>
      </c>
      <c r="M516" s="974">
        <v>825</v>
      </c>
      <c r="N516" s="974">
        <v>140</v>
      </c>
      <c r="O516" s="974">
        <v>3.5</v>
      </c>
      <c r="P516" s="974">
        <v>0.3</v>
      </c>
      <c r="Q516" s="974">
        <v>0.28999999999999998</v>
      </c>
      <c r="R516" s="974">
        <v>0.37</v>
      </c>
    </row>
    <row r="517" spans="1:18" x14ac:dyDescent="0.35">
      <c r="A517" s="974" t="s">
        <v>2123</v>
      </c>
      <c r="B517" s="974" t="s">
        <v>2192</v>
      </c>
      <c r="C517" s="974">
        <v>305</v>
      </c>
      <c r="D517" s="974">
        <v>-33</v>
      </c>
      <c r="E517" s="974">
        <v>-36</v>
      </c>
      <c r="F517" s="974">
        <v>29</v>
      </c>
      <c r="G517" s="974">
        <v>21</v>
      </c>
      <c r="H517" s="974">
        <v>6050</v>
      </c>
      <c r="I517" s="974">
        <v>20</v>
      </c>
      <c r="J517" s="974">
        <v>91</v>
      </c>
      <c r="K517" s="974">
        <v>650</v>
      </c>
      <c r="L517" s="974">
        <v>0.8</v>
      </c>
      <c r="M517" s="974">
        <v>875</v>
      </c>
      <c r="N517" s="974">
        <v>100</v>
      </c>
      <c r="O517" s="974">
        <v>3.2</v>
      </c>
      <c r="P517" s="974">
        <v>0.3</v>
      </c>
      <c r="Q517" s="974">
        <v>0.27</v>
      </c>
      <c r="R517" s="974">
        <v>0.35</v>
      </c>
    </row>
    <row r="518" spans="1:18" x14ac:dyDescent="0.35">
      <c r="A518" s="974" t="s">
        <v>2123</v>
      </c>
      <c r="B518" s="974" t="s">
        <v>2193</v>
      </c>
      <c r="C518" s="974">
        <v>5</v>
      </c>
      <c r="D518" s="974">
        <v>-21</v>
      </c>
      <c r="E518" s="974">
        <v>-24</v>
      </c>
      <c r="F518" s="974">
        <v>25</v>
      </c>
      <c r="G518" s="974">
        <v>19</v>
      </c>
      <c r="H518" s="974">
        <v>5400</v>
      </c>
      <c r="I518" s="974">
        <v>16</v>
      </c>
      <c r="J518" s="974">
        <v>107</v>
      </c>
      <c r="K518" s="974">
        <v>1000</v>
      </c>
      <c r="L518" s="974">
        <v>1.2</v>
      </c>
      <c r="M518" s="974">
        <v>1300</v>
      </c>
      <c r="N518" s="974">
        <v>300</v>
      </c>
      <c r="O518" s="974">
        <v>3.8</v>
      </c>
      <c r="P518" s="974">
        <v>0.6</v>
      </c>
      <c r="Q518" s="974">
        <v>0.49</v>
      </c>
      <c r="R518" s="974">
        <v>0.63</v>
      </c>
    </row>
    <row r="519" spans="1:18" x14ac:dyDescent="0.35">
      <c r="A519" s="974" t="s">
        <v>2123</v>
      </c>
      <c r="B519" s="974" t="s">
        <v>2194</v>
      </c>
      <c r="C519" s="974">
        <v>25</v>
      </c>
      <c r="D519" s="974">
        <v>-24</v>
      </c>
      <c r="E519" s="974">
        <v>-26</v>
      </c>
      <c r="F519" s="974">
        <v>29</v>
      </c>
      <c r="G519" s="974">
        <v>23</v>
      </c>
      <c r="H519" s="974">
        <v>4480</v>
      </c>
      <c r="I519" s="974">
        <v>23</v>
      </c>
      <c r="J519" s="974">
        <v>96</v>
      </c>
      <c r="K519" s="974">
        <v>780</v>
      </c>
      <c r="L519" s="974">
        <v>0.9</v>
      </c>
      <c r="M519" s="974">
        <v>950</v>
      </c>
      <c r="N519" s="974">
        <v>180</v>
      </c>
      <c r="O519" s="974">
        <v>2.2999999999999998</v>
      </c>
      <c r="P519" s="974">
        <v>0.4</v>
      </c>
      <c r="Q519" s="974">
        <v>0.33</v>
      </c>
      <c r="R519" s="974">
        <v>0.42</v>
      </c>
    </row>
    <row r="520" spans="1:18" x14ac:dyDescent="0.35">
      <c r="A520" s="974" t="s">
        <v>2123</v>
      </c>
      <c r="B520" s="974" t="s">
        <v>2195</v>
      </c>
      <c r="C520" s="974">
        <v>145</v>
      </c>
      <c r="D520" s="974">
        <v>-26</v>
      </c>
      <c r="E520" s="974">
        <v>-28</v>
      </c>
      <c r="F520" s="974">
        <v>29</v>
      </c>
      <c r="G520" s="974">
        <v>23</v>
      </c>
      <c r="H520" s="974">
        <v>5100</v>
      </c>
      <c r="I520" s="974">
        <v>21</v>
      </c>
      <c r="J520" s="974">
        <v>107</v>
      </c>
      <c r="K520" s="974">
        <v>890</v>
      </c>
      <c r="L520" s="974">
        <v>1</v>
      </c>
      <c r="M520" s="974">
        <v>1150</v>
      </c>
      <c r="N520" s="974">
        <v>180</v>
      </c>
      <c r="O520" s="974">
        <v>2.8</v>
      </c>
      <c r="P520" s="974">
        <v>0.6</v>
      </c>
      <c r="Q520" s="974">
        <v>0.27</v>
      </c>
      <c r="R520" s="974">
        <v>0.35</v>
      </c>
    </row>
    <row r="521" spans="1:18" x14ac:dyDescent="0.35">
      <c r="A521" s="974" t="s">
        <v>2123</v>
      </c>
      <c r="B521" s="974" t="s">
        <v>2196</v>
      </c>
      <c r="C521" s="974">
        <v>20</v>
      </c>
      <c r="D521" s="974">
        <v>-28</v>
      </c>
      <c r="E521" s="974">
        <v>-30</v>
      </c>
      <c r="F521" s="974">
        <v>25</v>
      </c>
      <c r="G521" s="974">
        <v>19</v>
      </c>
      <c r="H521" s="974">
        <v>6060</v>
      </c>
      <c r="I521" s="974">
        <v>15</v>
      </c>
      <c r="J521" s="974">
        <v>106</v>
      </c>
      <c r="K521" s="974">
        <v>730</v>
      </c>
      <c r="L521" s="974">
        <v>1</v>
      </c>
      <c r="M521" s="974">
        <v>1125</v>
      </c>
      <c r="N521" s="974">
        <v>300</v>
      </c>
      <c r="O521" s="974">
        <v>4.0999999999999996</v>
      </c>
      <c r="P521" s="974">
        <v>0.4</v>
      </c>
      <c r="Q521" s="974">
        <v>0.42</v>
      </c>
      <c r="R521" s="974">
        <v>0.54</v>
      </c>
    </row>
    <row r="522" spans="1:18" x14ac:dyDescent="0.35">
      <c r="A522" s="974" t="s">
        <v>2123</v>
      </c>
      <c r="B522" s="974" t="s">
        <v>2197</v>
      </c>
      <c r="C522" s="974">
        <v>5</v>
      </c>
      <c r="D522" s="974">
        <v>-36</v>
      </c>
      <c r="E522" s="974">
        <v>-38</v>
      </c>
      <c r="F522" s="974">
        <v>23</v>
      </c>
      <c r="G522" s="974">
        <v>16</v>
      </c>
      <c r="H522" s="974">
        <v>9200</v>
      </c>
      <c r="I522" s="974">
        <v>7</v>
      </c>
      <c r="J522" s="974">
        <v>54</v>
      </c>
      <c r="K522" s="974">
        <v>210</v>
      </c>
      <c r="L522" s="974">
        <v>0.9</v>
      </c>
      <c r="M522" s="974">
        <v>375</v>
      </c>
      <c r="N522" s="974">
        <v>240</v>
      </c>
      <c r="O522" s="974">
        <v>4.5</v>
      </c>
      <c r="P522" s="974">
        <v>0.2</v>
      </c>
      <c r="Q522" s="974">
        <v>0.47</v>
      </c>
      <c r="R522" s="974">
        <v>0.6</v>
      </c>
    </row>
    <row r="523" spans="1:18" x14ac:dyDescent="0.35">
      <c r="A523" s="974" t="s">
        <v>2123</v>
      </c>
      <c r="B523" s="974" t="s">
        <v>2198</v>
      </c>
      <c r="C523" s="974">
        <v>35</v>
      </c>
      <c r="D523" s="974">
        <v>-25</v>
      </c>
      <c r="E523" s="974">
        <v>-28</v>
      </c>
      <c r="F523" s="974">
        <v>28</v>
      </c>
      <c r="G523" s="974">
        <v>23</v>
      </c>
      <c r="H523" s="974">
        <v>5130</v>
      </c>
      <c r="I523" s="974">
        <v>20</v>
      </c>
      <c r="J523" s="974">
        <v>102</v>
      </c>
      <c r="K523" s="974">
        <v>940</v>
      </c>
      <c r="L523" s="974">
        <v>1.1000000000000001</v>
      </c>
      <c r="M523" s="974">
        <v>1200</v>
      </c>
      <c r="N523" s="974">
        <v>200</v>
      </c>
      <c r="O523" s="974">
        <v>3.4</v>
      </c>
      <c r="P523" s="974">
        <v>0.6</v>
      </c>
      <c r="Q523" s="974">
        <v>0.32</v>
      </c>
      <c r="R523" s="974">
        <v>0.41</v>
      </c>
    </row>
    <row r="524" spans="1:18" x14ac:dyDescent="0.35">
      <c r="A524" s="974" t="s">
        <v>2123</v>
      </c>
      <c r="B524" s="974" t="s">
        <v>2199</v>
      </c>
      <c r="C524" s="974">
        <v>50</v>
      </c>
      <c r="D524" s="974">
        <v>-25</v>
      </c>
      <c r="E524" s="974">
        <v>-28</v>
      </c>
      <c r="F524" s="974">
        <v>28</v>
      </c>
      <c r="G524" s="974">
        <v>22</v>
      </c>
      <c r="H524" s="974">
        <v>5050</v>
      </c>
      <c r="I524" s="974">
        <v>20</v>
      </c>
      <c r="J524" s="974">
        <v>107</v>
      </c>
      <c r="K524" s="974">
        <v>920</v>
      </c>
      <c r="L524" s="974">
        <v>1</v>
      </c>
      <c r="M524" s="974">
        <v>1200</v>
      </c>
      <c r="N524" s="974">
        <v>160</v>
      </c>
      <c r="O524" s="974">
        <v>3.3</v>
      </c>
      <c r="P524" s="974">
        <v>0.6</v>
      </c>
      <c r="Q524" s="974">
        <v>0.32</v>
      </c>
      <c r="R524" s="974">
        <v>0.41</v>
      </c>
    </row>
    <row r="525" spans="1:18" x14ac:dyDescent="0.35">
      <c r="A525" s="974" t="s">
        <v>2123</v>
      </c>
      <c r="B525" s="974" t="s">
        <v>2200</v>
      </c>
      <c r="C525" s="974">
        <v>120</v>
      </c>
      <c r="D525" s="974">
        <v>-25</v>
      </c>
      <c r="E525" s="974">
        <v>-28</v>
      </c>
      <c r="F525" s="974">
        <v>28</v>
      </c>
      <c r="G525" s="974">
        <v>22</v>
      </c>
      <c r="H525" s="974">
        <v>5080</v>
      </c>
      <c r="I525" s="974">
        <v>20</v>
      </c>
      <c r="J525" s="974">
        <v>107</v>
      </c>
      <c r="K525" s="974">
        <v>925</v>
      </c>
      <c r="L525" s="974">
        <v>1</v>
      </c>
      <c r="M525" s="974">
        <v>1210</v>
      </c>
      <c r="N525" s="974">
        <v>200</v>
      </c>
      <c r="O525" s="974">
        <v>3.6</v>
      </c>
      <c r="P525" s="974">
        <v>0.6</v>
      </c>
      <c r="Q525" s="974">
        <v>0.32</v>
      </c>
      <c r="R525" s="974">
        <v>0.41</v>
      </c>
    </row>
    <row r="526" spans="1:18" x14ac:dyDescent="0.35">
      <c r="A526" s="974" t="s">
        <v>2123</v>
      </c>
      <c r="B526" s="974" t="s">
        <v>2201</v>
      </c>
      <c r="C526" s="974">
        <v>115</v>
      </c>
      <c r="D526" s="974">
        <v>-25</v>
      </c>
      <c r="E526" s="974">
        <v>-28</v>
      </c>
      <c r="F526" s="974">
        <v>28</v>
      </c>
      <c r="G526" s="974">
        <v>23</v>
      </c>
      <c r="H526" s="974">
        <v>5100</v>
      </c>
      <c r="I526" s="974">
        <v>20</v>
      </c>
      <c r="J526" s="974">
        <v>107</v>
      </c>
      <c r="K526" s="974">
        <v>940</v>
      </c>
      <c r="L526" s="974">
        <v>1.1000000000000001</v>
      </c>
      <c r="M526" s="974">
        <v>1200</v>
      </c>
      <c r="N526" s="974">
        <v>180</v>
      </c>
      <c r="O526" s="974">
        <v>3.7</v>
      </c>
      <c r="P526" s="974">
        <v>0.6</v>
      </c>
      <c r="Q526" s="974">
        <v>0.32</v>
      </c>
      <c r="R526" s="974">
        <v>0.41</v>
      </c>
    </row>
    <row r="527" spans="1:18" x14ac:dyDescent="0.35">
      <c r="A527" s="974" t="s">
        <v>2123</v>
      </c>
      <c r="B527" s="974" t="s">
        <v>2202</v>
      </c>
      <c r="C527" s="974">
        <v>10</v>
      </c>
      <c r="D527" s="974">
        <v>-25</v>
      </c>
      <c r="E527" s="974">
        <v>-28</v>
      </c>
      <c r="F527" s="974">
        <v>28</v>
      </c>
      <c r="G527" s="974">
        <v>23</v>
      </c>
      <c r="H527" s="974">
        <v>5070</v>
      </c>
      <c r="I527" s="974">
        <v>20</v>
      </c>
      <c r="J527" s="974">
        <v>107</v>
      </c>
      <c r="K527" s="974">
        <v>930</v>
      </c>
      <c r="L527" s="974">
        <v>1.1000000000000001</v>
      </c>
      <c r="M527" s="974">
        <v>1200</v>
      </c>
      <c r="N527" s="974">
        <v>200</v>
      </c>
      <c r="O527" s="974">
        <v>3.1</v>
      </c>
      <c r="P527" s="974">
        <v>0.6</v>
      </c>
      <c r="Q527" s="974">
        <v>0.32</v>
      </c>
      <c r="R527" s="974">
        <v>0.41</v>
      </c>
    </row>
    <row r="528" spans="1:18" x14ac:dyDescent="0.35">
      <c r="A528" s="974" t="s">
        <v>2123</v>
      </c>
      <c r="B528" s="974" t="s">
        <v>1776</v>
      </c>
      <c r="C528" s="974">
        <v>150</v>
      </c>
      <c r="D528" s="974">
        <v>-25</v>
      </c>
      <c r="E528" s="974">
        <v>-27</v>
      </c>
      <c r="F528" s="974">
        <v>29</v>
      </c>
      <c r="G528" s="974">
        <v>22</v>
      </c>
      <c r="H528" s="974">
        <v>4700</v>
      </c>
      <c r="I528" s="974">
        <v>23</v>
      </c>
      <c r="J528" s="974">
        <v>96</v>
      </c>
      <c r="K528" s="974">
        <v>870</v>
      </c>
      <c r="L528" s="974">
        <v>1</v>
      </c>
      <c r="M528" s="974">
        <v>1060</v>
      </c>
      <c r="N528" s="974">
        <v>160</v>
      </c>
      <c r="O528" s="974">
        <v>2.4</v>
      </c>
      <c r="P528" s="974">
        <v>0.6</v>
      </c>
      <c r="Q528" s="974">
        <v>0.25</v>
      </c>
      <c r="R528" s="974">
        <v>0.32</v>
      </c>
    </row>
    <row r="529" spans="1:18" x14ac:dyDescent="0.35">
      <c r="A529" s="974" t="s">
        <v>2123</v>
      </c>
      <c r="B529" s="974" t="s">
        <v>2203</v>
      </c>
      <c r="C529" s="974">
        <v>30</v>
      </c>
      <c r="D529" s="974">
        <v>-25</v>
      </c>
      <c r="E529" s="974">
        <v>-27</v>
      </c>
      <c r="F529" s="974">
        <v>26</v>
      </c>
      <c r="G529" s="974">
        <v>20</v>
      </c>
      <c r="H529" s="974">
        <v>5300</v>
      </c>
      <c r="I529" s="974">
        <v>18</v>
      </c>
      <c r="J529" s="974">
        <v>91</v>
      </c>
      <c r="K529" s="974">
        <v>640</v>
      </c>
      <c r="L529" s="974">
        <v>0.8</v>
      </c>
      <c r="M529" s="974">
        <v>890</v>
      </c>
      <c r="N529" s="974">
        <v>200</v>
      </c>
      <c r="O529" s="974">
        <v>3.8</v>
      </c>
      <c r="P529" s="974">
        <v>0.4</v>
      </c>
      <c r="Q529" s="974">
        <v>0.41</v>
      </c>
      <c r="R529" s="974">
        <v>0.52</v>
      </c>
    </row>
    <row r="530" spans="1:18" x14ac:dyDescent="0.35">
      <c r="A530" s="974" t="s">
        <v>2123</v>
      </c>
      <c r="B530" s="974" t="s">
        <v>2204</v>
      </c>
      <c r="C530" s="974">
        <v>55</v>
      </c>
      <c r="D530" s="974">
        <v>-25</v>
      </c>
      <c r="E530" s="974">
        <v>-27</v>
      </c>
      <c r="F530" s="974">
        <v>26</v>
      </c>
      <c r="G530" s="974">
        <v>21</v>
      </c>
      <c r="H530" s="974">
        <v>5380</v>
      </c>
      <c r="I530" s="974">
        <v>18</v>
      </c>
      <c r="J530" s="974">
        <v>91</v>
      </c>
      <c r="K530" s="974">
        <v>660</v>
      </c>
      <c r="L530" s="974">
        <v>0.8</v>
      </c>
      <c r="M530" s="974">
        <v>900</v>
      </c>
      <c r="N530" s="974">
        <v>180</v>
      </c>
      <c r="O530" s="974">
        <v>3.5</v>
      </c>
      <c r="P530" s="974">
        <v>0.6</v>
      </c>
      <c r="Q530" s="974">
        <v>0.39</v>
      </c>
      <c r="R530" s="974">
        <v>0.5</v>
      </c>
    </row>
    <row r="531" spans="1:18" x14ac:dyDescent="0.35">
      <c r="A531" s="974" t="s">
        <v>2123</v>
      </c>
      <c r="B531" s="974" t="s">
        <v>2205</v>
      </c>
      <c r="C531" s="974">
        <v>100</v>
      </c>
      <c r="D531" s="974">
        <v>-31</v>
      </c>
      <c r="E531" s="974">
        <v>-33</v>
      </c>
      <c r="F531" s="974">
        <v>28</v>
      </c>
      <c r="G531" s="974">
        <v>21</v>
      </c>
      <c r="H531" s="974">
        <v>5750</v>
      </c>
      <c r="I531" s="974">
        <v>22</v>
      </c>
      <c r="J531" s="974">
        <v>91</v>
      </c>
      <c r="K531" s="974">
        <v>590</v>
      </c>
      <c r="L531" s="974">
        <v>0.8</v>
      </c>
      <c r="M531" s="974">
        <v>910</v>
      </c>
      <c r="N531" s="974">
        <v>140</v>
      </c>
      <c r="O531" s="974">
        <v>3.5</v>
      </c>
      <c r="P531" s="974">
        <v>0.3</v>
      </c>
      <c r="Q531" s="974">
        <v>0.27</v>
      </c>
      <c r="R531" s="974">
        <v>0.35</v>
      </c>
    </row>
    <row r="532" spans="1:18" x14ac:dyDescent="0.35">
      <c r="A532" s="974" t="s">
        <v>2123</v>
      </c>
      <c r="B532" s="974" t="s">
        <v>2206</v>
      </c>
      <c r="C532" s="974">
        <v>160</v>
      </c>
      <c r="D532" s="974">
        <v>-25</v>
      </c>
      <c r="E532" s="974">
        <v>-27</v>
      </c>
      <c r="F532" s="974">
        <v>29</v>
      </c>
      <c r="G532" s="974">
        <v>23</v>
      </c>
      <c r="H532" s="974">
        <v>4850</v>
      </c>
      <c r="I532" s="974">
        <v>23</v>
      </c>
      <c r="J532" s="974">
        <v>91</v>
      </c>
      <c r="K532" s="974">
        <v>900</v>
      </c>
      <c r="L532" s="974">
        <v>1</v>
      </c>
      <c r="M532" s="974">
        <v>1125</v>
      </c>
      <c r="N532" s="974">
        <v>160</v>
      </c>
      <c r="O532" s="974">
        <v>2</v>
      </c>
      <c r="P532" s="974">
        <v>0.4</v>
      </c>
      <c r="Q532" s="974">
        <v>0.27</v>
      </c>
      <c r="R532" s="974">
        <v>0.35</v>
      </c>
    </row>
    <row r="533" spans="1:18" x14ac:dyDescent="0.35">
      <c r="A533" s="974" t="s">
        <v>2123</v>
      </c>
      <c r="B533" s="974" t="s">
        <v>2207</v>
      </c>
      <c r="C533" s="974">
        <v>25</v>
      </c>
      <c r="D533" s="974">
        <v>-24</v>
      </c>
      <c r="E533" s="974">
        <v>-26</v>
      </c>
      <c r="F533" s="974">
        <v>29</v>
      </c>
      <c r="G533" s="974">
        <v>23</v>
      </c>
      <c r="H533" s="974">
        <v>4550</v>
      </c>
      <c r="I533" s="974">
        <v>23</v>
      </c>
      <c r="J533" s="974">
        <v>96</v>
      </c>
      <c r="K533" s="974">
        <v>840</v>
      </c>
      <c r="L533" s="974">
        <v>1</v>
      </c>
      <c r="M533" s="974">
        <v>1050</v>
      </c>
      <c r="N533" s="974">
        <v>160</v>
      </c>
      <c r="O533" s="974">
        <v>2.6</v>
      </c>
      <c r="P533" s="974">
        <v>0.4</v>
      </c>
      <c r="Q533" s="974">
        <v>0.31</v>
      </c>
      <c r="R533" s="974">
        <v>0.4</v>
      </c>
    </row>
    <row r="534" spans="1:18" x14ac:dyDescent="0.35">
      <c r="A534" s="974" t="s">
        <v>2123</v>
      </c>
      <c r="B534" s="974" t="s">
        <v>2208</v>
      </c>
      <c r="C534" s="974">
        <v>300</v>
      </c>
      <c r="D534" s="974">
        <v>-33</v>
      </c>
      <c r="E534" s="974">
        <v>-36</v>
      </c>
      <c r="F534" s="974">
        <v>29</v>
      </c>
      <c r="G534" s="974">
        <v>21</v>
      </c>
      <c r="H534" s="974">
        <v>6050</v>
      </c>
      <c r="I534" s="974">
        <v>20</v>
      </c>
      <c r="J534" s="974">
        <v>91</v>
      </c>
      <c r="K534" s="974">
        <v>650</v>
      </c>
      <c r="L534" s="974">
        <v>0.8</v>
      </c>
      <c r="M534" s="974">
        <v>900</v>
      </c>
      <c r="N534" s="974">
        <v>100</v>
      </c>
      <c r="O534" s="974">
        <v>3.1</v>
      </c>
      <c r="P534" s="974">
        <v>0.3</v>
      </c>
      <c r="Q534" s="974">
        <v>0.27</v>
      </c>
      <c r="R534" s="974">
        <v>0.35</v>
      </c>
    </row>
    <row r="535" spans="1:18" x14ac:dyDescent="0.35">
      <c r="A535" s="974" t="s">
        <v>2123</v>
      </c>
      <c r="B535" s="974" t="s">
        <v>2209</v>
      </c>
      <c r="C535" s="974">
        <v>10</v>
      </c>
      <c r="D535" s="974">
        <v>-30</v>
      </c>
      <c r="E535" s="974">
        <v>-32</v>
      </c>
      <c r="F535" s="974">
        <v>28</v>
      </c>
      <c r="G535" s="974">
        <v>22</v>
      </c>
      <c r="H535" s="974">
        <v>5700</v>
      </c>
      <c r="I535" s="974">
        <v>18</v>
      </c>
      <c r="J535" s="974">
        <v>86</v>
      </c>
      <c r="K535" s="974">
        <v>710</v>
      </c>
      <c r="L535" s="974">
        <v>0.9</v>
      </c>
      <c r="M535" s="974">
        <v>975</v>
      </c>
      <c r="N535" s="974">
        <v>140</v>
      </c>
      <c r="O535" s="974">
        <v>2.7</v>
      </c>
      <c r="P535" s="974">
        <v>0.4</v>
      </c>
      <c r="Q535" s="974">
        <v>0.28000000000000003</v>
      </c>
      <c r="R535" s="974">
        <v>0.36</v>
      </c>
    </row>
    <row r="536" spans="1:18" x14ac:dyDescent="0.35">
      <c r="A536" s="974" t="s">
        <v>2123</v>
      </c>
      <c r="B536" s="974" t="s">
        <v>2210</v>
      </c>
      <c r="C536" s="974">
        <v>5</v>
      </c>
      <c r="D536" s="974">
        <v>-31</v>
      </c>
      <c r="E536" s="974">
        <v>-33</v>
      </c>
      <c r="F536" s="974">
        <v>28</v>
      </c>
      <c r="G536" s="974">
        <v>21</v>
      </c>
      <c r="H536" s="974">
        <v>5700</v>
      </c>
      <c r="I536" s="974">
        <v>18</v>
      </c>
      <c r="J536" s="974">
        <v>86</v>
      </c>
      <c r="K536" s="974">
        <v>690</v>
      </c>
      <c r="L536" s="974">
        <v>0.9</v>
      </c>
      <c r="M536" s="974">
        <v>925</v>
      </c>
      <c r="N536" s="974">
        <v>160</v>
      </c>
      <c r="O536" s="974">
        <v>2.7</v>
      </c>
      <c r="P536" s="974">
        <v>0.4</v>
      </c>
      <c r="Q536" s="974">
        <v>0.3</v>
      </c>
      <c r="R536" s="974">
        <v>0.38</v>
      </c>
    </row>
    <row r="537" spans="1:18" x14ac:dyDescent="0.35">
      <c r="A537" s="974" t="s">
        <v>2123</v>
      </c>
      <c r="B537" s="974" t="s">
        <v>2211</v>
      </c>
      <c r="C537" s="974">
        <v>135</v>
      </c>
      <c r="D537" s="974">
        <v>-30</v>
      </c>
      <c r="E537" s="974">
        <v>-32</v>
      </c>
      <c r="F537" s="974">
        <v>28</v>
      </c>
      <c r="G537" s="974">
        <v>22</v>
      </c>
      <c r="H537" s="974">
        <v>5650</v>
      </c>
      <c r="I537" s="974">
        <v>18</v>
      </c>
      <c r="J537" s="974">
        <v>86</v>
      </c>
      <c r="K537" s="974">
        <v>710</v>
      </c>
      <c r="L537" s="974">
        <v>0.9</v>
      </c>
      <c r="M537" s="974">
        <v>925</v>
      </c>
      <c r="N537" s="974">
        <v>160</v>
      </c>
      <c r="O537" s="974">
        <v>3.1</v>
      </c>
      <c r="P537" s="974">
        <v>0.4</v>
      </c>
      <c r="Q537" s="974">
        <v>0.27</v>
      </c>
      <c r="R537" s="974">
        <v>0.35</v>
      </c>
    </row>
    <row r="538" spans="1:18" x14ac:dyDescent="0.35">
      <c r="A538" s="974" t="s">
        <v>2123</v>
      </c>
      <c r="B538" s="974" t="s">
        <v>2212</v>
      </c>
      <c r="C538" s="974">
        <v>140</v>
      </c>
      <c r="D538" s="974">
        <v>-30</v>
      </c>
      <c r="E538" s="974">
        <v>-32</v>
      </c>
      <c r="F538" s="974">
        <v>28</v>
      </c>
      <c r="G538" s="974">
        <v>22</v>
      </c>
      <c r="H538" s="974">
        <v>5650</v>
      </c>
      <c r="I538" s="974">
        <v>18</v>
      </c>
      <c r="J538" s="974">
        <v>86</v>
      </c>
      <c r="K538" s="974">
        <v>690</v>
      </c>
      <c r="L538" s="974">
        <v>0.9</v>
      </c>
      <c r="M538" s="974">
        <v>925</v>
      </c>
      <c r="N538" s="974">
        <v>160</v>
      </c>
      <c r="O538" s="974">
        <v>3.1</v>
      </c>
      <c r="P538" s="974">
        <v>0.4</v>
      </c>
      <c r="Q538" s="974">
        <v>0.27</v>
      </c>
      <c r="R538" s="974">
        <v>0.35</v>
      </c>
    </row>
    <row r="539" spans="1:18" x14ac:dyDescent="0.35">
      <c r="A539" s="974" t="s">
        <v>2123</v>
      </c>
      <c r="B539" s="974" t="s">
        <v>2213</v>
      </c>
      <c r="C539" s="974">
        <v>360</v>
      </c>
      <c r="D539" s="974">
        <v>-28</v>
      </c>
      <c r="E539" s="974">
        <v>-30</v>
      </c>
      <c r="F539" s="974">
        <v>28</v>
      </c>
      <c r="G539" s="974">
        <v>22</v>
      </c>
      <c r="H539" s="974">
        <v>5390</v>
      </c>
      <c r="I539" s="974">
        <v>23</v>
      </c>
      <c r="J539" s="974">
        <v>96</v>
      </c>
      <c r="K539" s="974">
        <v>820</v>
      </c>
      <c r="L539" s="974">
        <v>1</v>
      </c>
      <c r="M539" s="974">
        <v>1170</v>
      </c>
      <c r="N539" s="974">
        <v>140</v>
      </c>
      <c r="O539" s="974">
        <v>3.4</v>
      </c>
      <c r="P539" s="974">
        <v>0.4</v>
      </c>
      <c r="Q539" s="974">
        <v>0.27</v>
      </c>
      <c r="R539" s="974">
        <v>0.35</v>
      </c>
    </row>
    <row r="540" spans="1:18" x14ac:dyDescent="0.35">
      <c r="A540" s="974" t="s">
        <v>2123</v>
      </c>
      <c r="B540" s="974" t="s">
        <v>2214</v>
      </c>
      <c r="C540" s="974">
        <v>35</v>
      </c>
      <c r="D540" s="974">
        <v>-25</v>
      </c>
      <c r="E540" s="974">
        <v>-27</v>
      </c>
      <c r="F540" s="974">
        <v>29</v>
      </c>
      <c r="G540" s="974">
        <v>23</v>
      </c>
      <c r="H540" s="974">
        <v>4500</v>
      </c>
      <c r="I540" s="974">
        <v>23</v>
      </c>
      <c r="J540" s="974">
        <v>96</v>
      </c>
      <c r="K540" s="974">
        <v>820</v>
      </c>
      <c r="L540" s="974">
        <v>0.9</v>
      </c>
      <c r="M540" s="974">
        <v>1025</v>
      </c>
      <c r="N540" s="974">
        <v>160</v>
      </c>
      <c r="O540" s="974">
        <v>2.4</v>
      </c>
      <c r="P540" s="974">
        <v>0.4</v>
      </c>
      <c r="Q540" s="974">
        <v>0.28999999999999998</v>
      </c>
      <c r="R540" s="974">
        <v>0.37</v>
      </c>
    </row>
    <row r="541" spans="1:18" x14ac:dyDescent="0.35">
      <c r="A541" s="974" t="s">
        <v>2123</v>
      </c>
      <c r="B541" s="974" t="s">
        <v>2215</v>
      </c>
      <c r="C541" s="974">
        <v>105</v>
      </c>
      <c r="D541" s="974">
        <v>-32</v>
      </c>
      <c r="E541" s="974">
        <v>-34</v>
      </c>
      <c r="F541" s="974">
        <v>28</v>
      </c>
      <c r="G541" s="974">
        <v>22</v>
      </c>
      <c r="H541" s="974">
        <v>5850</v>
      </c>
      <c r="I541" s="974">
        <v>22</v>
      </c>
      <c r="J541" s="974">
        <v>91</v>
      </c>
      <c r="K541" s="974">
        <v>570</v>
      </c>
      <c r="L541" s="974">
        <v>0.8</v>
      </c>
      <c r="M541" s="974">
        <v>900</v>
      </c>
      <c r="N541" s="974">
        <v>140</v>
      </c>
      <c r="O541" s="974">
        <v>3.5</v>
      </c>
      <c r="P541" s="974">
        <v>0.3</v>
      </c>
      <c r="Q541" s="974">
        <v>0.27</v>
      </c>
      <c r="R541" s="974">
        <v>0.35</v>
      </c>
    </row>
    <row r="542" spans="1:18" x14ac:dyDescent="0.35">
      <c r="A542" s="974" t="s">
        <v>2123</v>
      </c>
      <c r="B542" s="974" t="s">
        <v>2216</v>
      </c>
      <c r="C542" s="974">
        <v>35</v>
      </c>
      <c r="D542" s="974">
        <v>-25</v>
      </c>
      <c r="E542" s="974">
        <v>-27</v>
      </c>
      <c r="F542" s="974">
        <v>26</v>
      </c>
      <c r="G542" s="974">
        <v>21</v>
      </c>
      <c r="H542" s="974">
        <v>5400</v>
      </c>
      <c r="I542" s="974">
        <v>18</v>
      </c>
      <c r="J542" s="974">
        <v>91</v>
      </c>
      <c r="K542" s="974">
        <v>660</v>
      </c>
      <c r="L542" s="974">
        <v>0.9</v>
      </c>
      <c r="M542" s="974">
        <v>925</v>
      </c>
      <c r="N542" s="974">
        <v>180</v>
      </c>
      <c r="O542" s="974">
        <v>3.2</v>
      </c>
      <c r="P542" s="974">
        <v>0.6</v>
      </c>
      <c r="Q542" s="974">
        <v>0.39</v>
      </c>
      <c r="R542" s="974">
        <v>0.5</v>
      </c>
    </row>
    <row r="543" spans="1:18" x14ac:dyDescent="0.35">
      <c r="A543" s="974" t="s">
        <v>2123</v>
      </c>
      <c r="B543" s="974" t="s">
        <v>2217</v>
      </c>
      <c r="C543" s="974">
        <v>25</v>
      </c>
      <c r="D543" s="974">
        <v>-24</v>
      </c>
      <c r="E543" s="974">
        <v>-26</v>
      </c>
      <c r="F543" s="974">
        <v>30</v>
      </c>
      <c r="G543" s="974">
        <v>23</v>
      </c>
      <c r="H543" s="974">
        <v>4490</v>
      </c>
      <c r="I543" s="974">
        <v>23</v>
      </c>
      <c r="J543" s="974">
        <v>91</v>
      </c>
      <c r="K543" s="974">
        <v>820</v>
      </c>
      <c r="L543" s="974">
        <v>0.9</v>
      </c>
      <c r="M543" s="974">
        <v>1020</v>
      </c>
      <c r="N543" s="974">
        <v>180</v>
      </c>
      <c r="O543" s="974">
        <v>2.5</v>
      </c>
      <c r="P543" s="974">
        <v>0.4</v>
      </c>
      <c r="Q543" s="974">
        <v>0.34</v>
      </c>
      <c r="R543" s="974">
        <v>0.44</v>
      </c>
    </row>
    <row r="544" spans="1:18" x14ac:dyDescent="0.35">
      <c r="A544" s="974" t="s">
        <v>2123</v>
      </c>
      <c r="B544" s="974" t="s">
        <v>2218</v>
      </c>
      <c r="C544" s="974">
        <v>310</v>
      </c>
      <c r="D544" s="974">
        <v>-26</v>
      </c>
      <c r="E544" s="974">
        <v>-28</v>
      </c>
      <c r="F544" s="974">
        <v>26</v>
      </c>
      <c r="G544" s="974">
        <v>21</v>
      </c>
      <c r="H544" s="974">
        <v>5520</v>
      </c>
      <c r="I544" s="974">
        <v>22</v>
      </c>
      <c r="J544" s="974">
        <v>91</v>
      </c>
      <c r="K544" s="974">
        <v>740</v>
      </c>
      <c r="L544" s="974">
        <v>0.9</v>
      </c>
      <c r="M544" s="974">
        <v>1025</v>
      </c>
      <c r="N544" s="974">
        <v>180</v>
      </c>
      <c r="O544" s="974">
        <v>4.4000000000000004</v>
      </c>
      <c r="P544" s="974">
        <v>0.6</v>
      </c>
      <c r="Q544" s="974">
        <v>0.31</v>
      </c>
      <c r="R544" s="974">
        <v>0.4</v>
      </c>
    </row>
    <row r="545" spans="1:18" x14ac:dyDescent="0.35">
      <c r="A545" s="974" t="s">
        <v>2123</v>
      </c>
      <c r="B545" s="974" t="s">
        <v>2219</v>
      </c>
      <c r="C545" s="974">
        <v>35</v>
      </c>
      <c r="D545" s="974">
        <v>-24</v>
      </c>
      <c r="E545" s="974">
        <v>-27</v>
      </c>
      <c r="F545" s="974">
        <v>30</v>
      </c>
      <c r="G545" s="974">
        <v>23</v>
      </c>
      <c r="H545" s="974">
        <v>4500</v>
      </c>
      <c r="I545" s="974">
        <v>21</v>
      </c>
      <c r="J545" s="974">
        <v>91</v>
      </c>
      <c r="K545" s="974">
        <v>840</v>
      </c>
      <c r="L545" s="974">
        <v>1</v>
      </c>
      <c r="M545" s="974">
        <v>1030</v>
      </c>
      <c r="N545" s="974">
        <v>160</v>
      </c>
      <c r="O545" s="974">
        <v>2.2999999999999998</v>
      </c>
      <c r="P545" s="974">
        <v>0.4</v>
      </c>
      <c r="Q545" s="974">
        <v>0.27</v>
      </c>
      <c r="R545" s="974">
        <v>0.35</v>
      </c>
    </row>
    <row r="546" spans="1:18" x14ac:dyDescent="0.35">
      <c r="A546" s="974" t="s">
        <v>2123</v>
      </c>
      <c r="B546" s="974" t="s">
        <v>2220</v>
      </c>
      <c r="C546" s="974">
        <v>35</v>
      </c>
      <c r="D546" s="974">
        <v>-24</v>
      </c>
      <c r="E546" s="974">
        <v>-26</v>
      </c>
      <c r="F546" s="974">
        <v>29</v>
      </c>
      <c r="G546" s="974">
        <v>23</v>
      </c>
      <c r="H546" s="974">
        <v>4450</v>
      </c>
      <c r="I546" s="974">
        <v>23</v>
      </c>
      <c r="J546" s="974">
        <v>91</v>
      </c>
      <c r="K546" s="974">
        <v>880</v>
      </c>
      <c r="L546" s="974">
        <v>1</v>
      </c>
      <c r="M546" s="974">
        <v>1010</v>
      </c>
      <c r="N546" s="974">
        <v>180</v>
      </c>
      <c r="O546" s="974">
        <v>2.2000000000000002</v>
      </c>
      <c r="P546" s="974">
        <v>0.4</v>
      </c>
      <c r="Q546" s="974">
        <v>0.32</v>
      </c>
      <c r="R546" s="974">
        <v>0.41</v>
      </c>
    </row>
    <row r="547" spans="1:18" x14ac:dyDescent="0.35">
      <c r="A547" s="974" t="s">
        <v>2123</v>
      </c>
      <c r="B547" s="974" t="s">
        <v>2221</v>
      </c>
      <c r="C547" s="974">
        <v>95</v>
      </c>
      <c r="D547" s="974">
        <v>-26</v>
      </c>
      <c r="E547" s="974">
        <v>-28</v>
      </c>
      <c r="F547" s="974">
        <v>29</v>
      </c>
      <c r="G547" s="974">
        <v>23</v>
      </c>
      <c r="H547" s="974">
        <v>4820</v>
      </c>
      <c r="I547" s="974">
        <v>23</v>
      </c>
      <c r="J547" s="974">
        <v>96</v>
      </c>
      <c r="K547" s="974">
        <v>830</v>
      </c>
      <c r="L547" s="974">
        <v>1</v>
      </c>
      <c r="M547" s="974">
        <v>1025</v>
      </c>
      <c r="N547" s="974">
        <v>160</v>
      </c>
      <c r="O547" s="974">
        <v>2.7</v>
      </c>
      <c r="P547" s="974">
        <v>0.4</v>
      </c>
      <c r="Q547" s="974">
        <v>0.28999999999999998</v>
      </c>
      <c r="R547" s="974">
        <v>0.37</v>
      </c>
    </row>
    <row r="548" spans="1:18" x14ac:dyDescent="0.35">
      <c r="A548" s="974" t="s">
        <v>2123</v>
      </c>
      <c r="B548" s="974" t="s">
        <v>2222</v>
      </c>
      <c r="C548" s="974">
        <v>230</v>
      </c>
      <c r="D548" s="974">
        <v>-29</v>
      </c>
      <c r="E548" s="974">
        <v>-31</v>
      </c>
      <c r="F548" s="974">
        <v>28</v>
      </c>
      <c r="G548" s="974">
        <v>22</v>
      </c>
      <c r="H548" s="974">
        <v>5250</v>
      </c>
      <c r="I548" s="974">
        <v>23</v>
      </c>
      <c r="J548" s="974">
        <v>96</v>
      </c>
      <c r="K548" s="974">
        <v>810</v>
      </c>
      <c r="L548" s="974">
        <v>1</v>
      </c>
      <c r="M548" s="974">
        <v>1025</v>
      </c>
      <c r="N548" s="974">
        <v>160</v>
      </c>
      <c r="O548" s="974">
        <v>2.8</v>
      </c>
      <c r="P548" s="974">
        <v>0.4</v>
      </c>
      <c r="Q548" s="974">
        <v>0.26</v>
      </c>
      <c r="R548" s="974">
        <v>0.33</v>
      </c>
    </row>
    <row r="549" spans="1:18" x14ac:dyDescent="0.35">
      <c r="A549" s="974" t="s">
        <v>2123</v>
      </c>
      <c r="B549" s="974" t="s">
        <v>2223</v>
      </c>
      <c r="C549" s="974">
        <v>60</v>
      </c>
      <c r="D549" s="974">
        <v>-24</v>
      </c>
      <c r="E549" s="974">
        <v>-26</v>
      </c>
      <c r="F549" s="974">
        <v>30</v>
      </c>
      <c r="G549" s="974">
        <v>23</v>
      </c>
      <c r="H549" s="974">
        <v>4520</v>
      </c>
      <c r="I549" s="974">
        <v>23</v>
      </c>
      <c r="J549" s="974">
        <v>96</v>
      </c>
      <c r="K549" s="974">
        <v>750</v>
      </c>
      <c r="L549" s="974">
        <v>0.9</v>
      </c>
      <c r="M549" s="974">
        <v>950</v>
      </c>
      <c r="N549" s="974">
        <v>180</v>
      </c>
      <c r="O549" s="974">
        <v>2.2999999999999998</v>
      </c>
      <c r="P549" s="974">
        <v>0.4</v>
      </c>
      <c r="Q549" s="974">
        <v>0.33</v>
      </c>
      <c r="R549" s="974">
        <v>0.42</v>
      </c>
    </row>
    <row r="550" spans="1:18" x14ac:dyDescent="0.35">
      <c r="A550" s="974" t="s">
        <v>2123</v>
      </c>
      <c r="B550" s="974" t="s">
        <v>2224</v>
      </c>
      <c r="C550" s="974">
        <v>65</v>
      </c>
      <c r="D550" s="974">
        <v>-25</v>
      </c>
      <c r="E550" s="974">
        <v>-28</v>
      </c>
      <c r="F550" s="974">
        <v>28</v>
      </c>
      <c r="G550" s="974">
        <v>22</v>
      </c>
      <c r="H550" s="974">
        <v>4990</v>
      </c>
      <c r="I550" s="974">
        <v>20</v>
      </c>
      <c r="J550" s="974">
        <v>102</v>
      </c>
      <c r="K550" s="974">
        <v>890</v>
      </c>
      <c r="L550" s="974">
        <v>1</v>
      </c>
      <c r="M550" s="974">
        <v>1200</v>
      </c>
      <c r="N550" s="974">
        <v>200</v>
      </c>
      <c r="O550" s="974">
        <v>3.5</v>
      </c>
      <c r="P550" s="974">
        <v>0.6</v>
      </c>
      <c r="Q550" s="974">
        <v>0.33</v>
      </c>
      <c r="R550" s="974">
        <v>0.42</v>
      </c>
    </row>
    <row r="551" spans="1:18" x14ac:dyDescent="0.35">
      <c r="A551" s="974" t="s">
        <v>2123</v>
      </c>
      <c r="B551" s="974" t="s">
        <v>2225</v>
      </c>
      <c r="C551" s="974">
        <v>50</v>
      </c>
      <c r="D551" s="974">
        <v>-23</v>
      </c>
      <c r="E551" s="974">
        <v>-25</v>
      </c>
      <c r="F551" s="974">
        <v>29</v>
      </c>
      <c r="G551" s="974">
        <v>23</v>
      </c>
      <c r="H551" s="974">
        <v>4400</v>
      </c>
      <c r="I551" s="974">
        <v>23</v>
      </c>
      <c r="J551" s="974">
        <v>96</v>
      </c>
      <c r="K551" s="974">
        <v>760</v>
      </c>
      <c r="L551" s="974">
        <v>0.9</v>
      </c>
      <c r="M551" s="974">
        <v>900</v>
      </c>
      <c r="N551" s="974">
        <v>180</v>
      </c>
      <c r="O551" s="974">
        <v>2.2999999999999998</v>
      </c>
      <c r="P551" s="974">
        <v>0.4</v>
      </c>
      <c r="Q551" s="974">
        <v>0.33</v>
      </c>
      <c r="R551" s="974">
        <v>0.42</v>
      </c>
    </row>
    <row r="552" spans="1:18" x14ac:dyDescent="0.35">
      <c r="A552" s="974" t="s">
        <v>2123</v>
      </c>
      <c r="B552" s="974" t="s">
        <v>2226</v>
      </c>
      <c r="C552" s="974">
        <v>550</v>
      </c>
      <c r="D552" s="974">
        <v>-37</v>
      </c>
      <c r="E552" s="974">
        <v>-39</v>
      </c>
      <c r="F552" s="974">
        <v>24</v>
      </c>
      <c r="G552" s="974">
        <v>16</v>
      </c>
      <c r="H552" s="974">
        <v>8550</v>
      </c>
      <c r="I552" s="974">
        <v>13</v>
      </c>
      <c r="J552" s="974">
        <v>64</v>
      </c>
      <c r="K552" s="974">
        <v>410</v>
      </c>
      <c r="L552" s="974">
        <v>0.8</v>
      </c>
      <c r="M552" s="974">
        <v>800</v>
      </c>
      <c r="N552" s="974">
        <v>180</v>
      </c>
      <c r="O552" s="974">
        <v>4.5</v>
      </c>
      <c r="P552" s="974">
        <v>0.3</v>
      </c>
      <c r="Q552" s="974">
        <v>0.33</v>
      </c>
      <c r="R552" s="974">
        <v>0.42</v>
      </c>
    </row>
    <row r="553" spans="1:18" x14ac:dyDescent="0.35">
      <c r="A553" s="974" t="s">
        <v>2123</v>
      </c>
      <c r="B553" s="974" t="s">
        <v>2227</v>
      </c>
      <c r="C553" s="974">
        <v>310</v>
      </c>
      <c r="D553" s="974">
        <v>-34</v>
      </c>
      <c r="E553" s="974">
        <v>-36</v>
      </c>
      <c r="F553" s="974">
        <v>29</v>
      </c>
      <c r="G553" s="974">
        <v>21</v>
      </c>
      <c r="H553" s="974">
        <v>6180</v>
      </c>
      <c r="I553" s="974">
        <v>22</v>
      </c>
      <c r="J553" s="974">
        <v>91</v>
      </c>
      <c r="K553" s="974">
        <v>740</v>
      </c>
      <c r="L553" s="974">
        <v>0.9</v>
      </c>
      <c r="M553" s="974">
        <v>925</v>
      </c>
      <c r="N553" s="974">
        <v>100</v>
      </c>
      <c r="O553" s="974">
        <v>3.3</v>
      </c>
      <c r="P553" s="974">
        <v>0.3</v>
      </c>
      <c r="Q553" s="974">
        <v>0.25</v>
      </c>
      <c r="R553" s="974">
        <v>0.32</v>
      </c>
    </row>
    <row r="554" spans="1:18" x14ac:dyDescent="0.35">
      <c r="A554" s="974" t="s">
        <v>2123</v>
      </c>
      <c r="B554" s="974" t="s">
        <v>2228</v>
      </c>
      <c r="C554" s="974">
        <v>60</v>
      </c>
      <c r="D554" s="974">
        <v>-26</v>
      </c>
      <c r="E554" s="974">
        <v>-29</v>
      </c>
      <c r="F554" s="974">
        <v>29</v>
      </c>
      <c r="G554" s="974">
        <v>23</v>
      </c>
      <c r="H554" s="974">
        <v>5050</v>
      </c>
      <c r="I554" s="974">
        <v>22</v>
      </c>
      <c r="J554" s="974">
        <v>102</v>
      </c>
      <c r="K554" s="974">
        <v>820</v>
      </c>
      <c r="L554" s="974">
        <v>1</v>
      </c>
      <c r="M554" s="974">
        <v>1050</v>
      </c>
      <c r="N554" s="974">
        <v>180</v>
      </c>
      <c r="O554" s="974">
        <v>3.1</v>
      </c>
      <c r="P554" s="974">
        <v>0.4</v>
      </c>
      <c r="Q554" s="974">
        <v>0.27</v>
      </c>
      <c r="R554" s="974">
        <v>0.35</v>
      </c>
    </row>
    <row r="555" spans="1:18" x14ac:dyDescent="0.35">
      <c r="A555" s="974" t="s">
        <v>2123</v>
      </c>
      <c r="B555" s="974" t="s">
        <v>2229</v>
      </c>
      <c r="C555" s="974">
        <v>170</v>
      </c>
      <c r="D555" s="974">
        <v>-27</v>
      </c>
      <c r="E555" s="974">
        <v>-30</v>
      </c>
      <c r="F555" s="974">
        <v>30</v>
      </c>
      <c r="G555" s="974">
        <v>23</v>
      </c>
      <c r="H555" s="974">
        <v>4880</v>
      </c>
      <c r="I555" s="974">
        <v>23</v>
      </c>
      <c r="J555" s="974">
        <v>96</v>
      </c>
      <c r="K555" s="974">
        <v>670</v>
      </c>
      <c r="L555" s="974">
        <v>0.8</v>
      </c>
      <c r="M555" s="974">
        <v>880</v>
      </c>
      <c r="N555" s="974">
        <v>160</v>
      </c>
      <c r="O555" s="974">
        <v>2.8</v>
      </c>
      <c r="P555" s="974">
        <v>0.4</v>
      </c>
      <c r="Q555" s="974">
        <v>0.27</v>
      </c>
      <c r="R555" s="974">
        <v>0.35</v>
      </c>
    </row>
    <row r="556" spans="1:18" x14ac:dyDescent="0.35">
      <c r="A556" s="974" t="s">
        <v>2123</v>
      </c>
      <c r="B556" s="974" t="s">
        <v>2230</v>
      </c>
      <c r="C556" s="974">
        <v>185</v>
      </c>
      <c r="D556" s="974">
        <v>-28</v>
      </c>
      <c r="E556" s="974">
        <v>-30</v>
      </c>
      <c r="F556" s="974">
        <v>29</v>
      </c>
      <c r="G556" s="974">
        <v>23</v>
      </c>
      <c r="H556" s="974">
        <v>4700</v>
      </c>
      <c r="I556" s="974">
        <v>23</v>
      </c>
      <c r="J556" s="974">
        <v>96</v>
      </c>
      <c r="K556" s="974">
        <v>900</v>
      </c>
      <c r="L556" s="974">
        <v>1</v>
      </c>
      <c r="M556" s="974">
        <v>1100</v>
      </c>
      <c r="N556" s="974">
        <v>160</v>
      </c>
      <c r="O556" s="974">
        <v>2.2000000000000002</v>
      </c>
      <c r="P556" s="974">
        <v>0.6</v>
      </c>
      <c r="Q556" s="974">
        <v>0.25</v>
      </c>
      <c r="R556" s="974">
        <v>0.32</v>
      </c>
    </row>
    <row r="557" spans="1:18" x14ac:dyDescent="0.35">
      <c r="A557" s="974" t="s">
        <v>2123</v>
      </c>
      <c r="B557" s="974" t="s">
        <v>2231</v>
      </c>
      <c r="C557" s="974">
        <v>10</v>
      </c>
      <c r="D557" s="974">
        <v>-25</v>
      </c>
      <c r="E557" s="974">
        <v>-27</v>
      </c>
      <c r="F557" s="974">
        <v>29</v>
      </c>
      <c r="G557" s="974">
        <v>23</v>
      </c>
      <c r="H557" s="974">
        <v>4550</v>
      </c>
      <c r="I557" s="974">
        <v>20</v>
      </c>
      <c r="J557" s="974">
        <v>102</v>
      </c>
      <c r="K557" s="974">
        <v>800</v>
      </c>
      <c r="L557" s="974">
        <v>0.9</v>
      </c>
      <c r="M557" s="974">
        <v>975</v>
      </c>
      <c r="N557" s="974">
        <v>180</v>
      </c>
      <c r="O557" s="974">
        <v>2.8</v>
      </c>
      <c r="P557" s="974">
        <v>0.4</v>
      </c>
      <c r="Q557" s="974">
        <v>0.34</v>
      </c>
      <c r="R557" s="974">
        <v>0.43</v>
      </c>
    </row>
    <row r="558" spans="1:18" x14ac:dyDescent="0.35">
      <c r="A558" s="974" t="s">
        <v>2123</v>
      </c>
      <c r="B558" s="974" t="s">
        <v>2232</v>
      </c>
      <c r="C558" s="974">
        <v>185</v>
      </c>
      <c r="D558" s="974">
        <v>-25</v>
      </c>
      <c r="E558" s="974">
        <v>-27</v>
      </c>
      <c r="F558" s="974">
        <v>29</v>
      </c>
      <c r="G558" s="974">
        <v>23</v>
      </c>
      <c r="H558" s="974">
        <v>4600</v>
      </c>
      <c r="I558" s="974">
        <v>23</v>
      </c>
      <c r="J558" s="974">
        <v>96</v>
      </c>
      <c r="K558" s="974">
        <v>990</v>
      </c>
      <c r="L558" s="974">
        <v>1.1000000000000001</v>
      </c>
      <c r="M558" s="974">
        <v>1260</v>
      </c>
      <c r="N558" s="974">
        <v>160</v>
      </c>
      <c r="O558" s="974">
        <v>2.4</v>
      </c>
      <c r="P558" s="974">
        <v>0.4</v>
      </c>
      <c r="Q558" s="974">
        <v>0.28999999999999998</v>
      </c>
      <c r="R558" s="974">
        <v>0.37</v>
      </c>
    </row>
    <row r="559" spans="1:18" x14ac:dyDescent="0.35">
      <c r="A559" s="974" t="s">
        <v>2123</v>
      </c>
      <c r="B559" s="974" t="s">
        <v>2233</v>
      </c>
      <c r="C559" s="974">
        <v>65</v>
      </c>
      <c r="D559" s="974">
        <v>-26</v>
      </c>
      <c r="E559" s="974">
        <v>-28</v>
      </c>
      <c r="F559" s="974">
        <v>27</v>
      </c>
      <c r="G559" s="974">
        <v>21</v>
      </c>
      <c r="H559" s="974">
        <v>5450</v>
      </c>
      <c r="I559" s="974">
        <v>18</v>
      </c>
      <c r="J559" s="974">
        <v>96</v>
      </c>
      <c r="K559" s="974">
        <v>700</v>
      </c>
      <c r="L559" s="974">
        <v>0.9</v>
      </c>
      <c r="M559" s="974">
        <v>1000</v>
      </c>
      <c r="N559" s="974">
        <v>180</v>
      </c>
      <c r="O559" s="974">
        <v>3.7</v>
      </c>
      <c r="P559" s="974">
        <v>0.4</v>
      </c>
      <c r="Q559" s="974">
        <v>0.41</v>
      </c>
      <c r="R559" s="974">
        <v>0.52</v>
      </c>
    </row>
    <row r="560" spans="1:18" x14ac:dyDescent="0.35">
      <c r="A560" s="974" t="s">
        <v>2123</v>
      </c>
      <c r="B560" s="974" t="s">
        <v>2234</v>
      </c>
      <c r="C560" s="974">
        <v>240</v>
      </c>
      <c r="D560" s="974">
        <v>-30</v>
      </c>
      <c r="E560" s="974">
        <v>-32</v>
      </c>
      <c r="F560" s="974">
        <v>30</v>
      </c>
      <c r="G560" s="974">
        <v>22</v>
      </c>
      <c r="H560" s="974">
        <v>5020</v>
      </c>
      <c r="I560" s="974">
        <v>23</v>
      </c>
      <c r="J560" s="974">
        <v>96</v>
      </c>
      <c r="K560" s="974">
        <v>730</v>
      </c>
      <c r="L560" s="974">
        <v>0.9</v>
      </c>
      <c r="M560" s="974">
        <v>940</v>
      </c>
      <c r="N560" s="974">
        <v>100</v>
      </c>
      <c r="O560" s="974">
        <v>2.5</v>
      </c>
      <c r="P560" s="974">
        <v>0.4</v>
      </c>
      <c r="Q560" s="974">
        <v>0.25</v>
      </c>
      <c r="R560" s="974">
        <v>0.32</v>
      </c>
    </row>
    <row r="561" spans="1:18" x14ac:dyDescent="0.35">
      <c r="A561" s="974" t="s">
        <v>2123</v>
      </c>
      <c r="B561" s="974" t="s">
        <v>2235</v>
      </c>
      <c r="C561" s="974">
        <v>20</v>
      </c>
      <c r="D561" s="974">
        <v>-25</v>
      </c>
      <c r="E561" s="974">
        <v>-27</v>
      </c>
      <c r="F561" s="974">
        <v>29</v>
      </c>
      <c r="G561" s="974">
        <v>23</v>
      </c>
      <c r="H561" s="974">
        <v>4500</v>
      </c>
      <c r="I561" s="974">
        <v>23</v>
      </c>
      <c r="J561" s="974">
        <v>96</v>
      </c>
      <c r="K561" s="974">
        <v>830</v>
      </c>
      <c r="L561" s="974">
        <v>0.9</v>
      </c>
      <c r="M561" s="974">
        <v>1025</v>
      </c>
      <c r="N561" s="974">
        <v>160</v>
      </c>
      <c r="O561" s="974">
        <v>2.6</v>
      </c>
      <c r="P561" s="974">
        <v>0.4</v>
      </c>
      <c r="Q561" s="974">
        <v>0.31</v>
      </c>
      <c r="R561" s="974">
        <v>0.4</v>
      </c>
    </row>
    <row r="562" spans="1:18" x14ac:dyDescent="0.35">
      <c r="A562" s="974" t="s">
        <v>2123</v>
      </c>
      <c r="B562" s="974" t="s">
        <v>2236</v>
      </c>
      <c r="C562" s="974">
        <v>330</v>
      </c>
      <c r="D562" s="974">
        <v>-26</v>
      </c>
      <c r="E562" s="974">
        <v>-28</v>
      </c>
      <c r="F562" s="974">
        <v>28</v>
      </c>
      <c r="G562" s="974">
        <v>22</v>
      </c>
      <c r="H562" s="974">
        <v>5120</v>
      </c>
      <c r="I562" s="974">
        <v>22</v>
      </c>
      <c r="J562" s="974">
        <v>107</v>
      </c>
      <c r="K562" s="974">
        <v>950</v>
      </c>
      <c r="L562" s="974">
        <v>1.1000000000000001</v>
      </c>
      <c r="M562" s="974">
        <v>1230</v>
      </c>
      <c r="N562" s="974">
        <v>160</v>
      </c>
      <c r="O562" s="974">
        <v>3.5</v>
      </c>
      <c r="P562" s="974">
        <v>0.6</v>
      </c>
      <c r="Q562" s="974">
        <v>0.27</v>
      </c>
      <c r="R562" s="974">
        <v>0.35</v>
      </c>
    </row>
    <row r="563" spans="1:18" x14ac:dyDescent="0.35">
      <c r="A563" s="974" t="s">
        <v>2123</v>
      </c>
      <c r="B563" s="974" t="s">
        <v>2237</v>
      </c>
      <c r="C563" s="974">
        <v>50</v>
      </c>
      <c r="D563" s="974">
        <v>-26</v>
      </c>
      <c r="E563" s="974">
        <v>-28</v>
      </c>
      <c r="F563" s="974">
        <v>30</v>
      </c>
      <c r="G563" s="974">
        <v>23</v>
      </c>
      <c r="H563" s="974">
        <v>4820</v>
      </c>
      <c r="I563" s="974">
        <v>23</v>
      </c>
      <c r="J563" s="974">
        <v>91</v>
      </c>
      <c r="K563" s="974">
        <v>800</v>
      </c>
      <c r="L563" s="974">
        <v>0.9</v>
      </c>
      <c r="M563" s="974">
        <v>950</v>
      </c>
      <c r="N563" s="974">
        <v>160</v>
      </c>
      <c r="O563" s="974">
        <v>2.4</v>
      </c>
      <c r="P563" s="974">
        <v>0.4</v>
      </c>
      <c r="Q563" s="974">
        <v>0.31</v>
      </c>
      <c r="R563" s="974">
        <v>0.4</v>
      </c>
    </row>
    <row r="564" spans="1:18" x14ac:dyDescent="0.35">
      <c r="A564" s="974" t="s">
        <v>2123</v>
      </c>
      <c r="B564" s="974" t="s">
        <v>2238</v>
      </c>
      <c r="C564" s="974">
        <v>25</v>
      </c>
      <c r="D564" s="974">
        <v>-25</v>
      </c>
      <c r="E564" s="974">
        <v>-28</v>
      </c>
      <c r="F564" s="974">
        <v>29</v>
      </c>
      <c r="G564" s="974">
        <v>23</v>
      </c>
      <c r="H564" s="974">
        <v>4900</v>
      </c>
      <c r="I564" s="974">
        <v>20</v>
      </c>
      <c r="J564" s="974">
        <v>107</v>
      </c>
      <c r="K564" s="974">
        <v>860</v>
      </c>
      <c r="L564" s="974">
        <v>1</v>
      </c>
      <c r="M564" s="974">
        <v>1050</v>
      </c>
      <c r="N564" s="974">
        <v>180</v>
      </c>
      <c r="O564" s="974">
        <v>2.8</v>
      </c>
      <c r="P564" s="974">
        <v>0.4</v>
      </c>
      <c r="Q564" s="974">
        <v>0.34</v>
      </c>
      <c r="R564" s="974">
        <v>0.43</v>
      </c>
    </row>
    <row r="565" spans="1:18" x14ac:dyDescent="0.35">
      <c r="A565" s="974" t="s">
        <v>2123</v>
      </c>
      <c r="B565" s="974" t="s">
        <v>2239</v>
      </c>
      <c r="C565" s="974">
        <v>310</v>
      </c>
      <c r="D565" s="974">
        <v>-33</v>
      </c>
      <c r="E565" s="974">
        <v>-36</v>
      </c>
      <c r="F565" s="974">
        <v>29</v>
      </c>
      <c r="G565" s="974">
        <v>21</v>
      </c>
      <c r="H565" s="974">
        <v>6180</v>
      </c>
      <c r="I565" s="974">
        <v>20</v>
      </c>
      <c r="J565" s="974">
        <v>86</v>
      </c>
      <c r="K565" s="974">
        <v>640</v>
      </c>
      <c r="L565" s="974">
        <v>0.8</v>
      </c>
      <c r="M565" s="974">
        <v>925</v>
      </c>
      <c r="N565" s="974">
        <v>100</v>
      </c>
      <c r="O565" s="974">
        <v>3.4</v>
      </c>
      <c r="P565" s="974">
        <v>0.3</v>
      </c>
      <c r="Q565" s="974">
        <v>0.25</v>
      </c>
      <c r="R565" s="974">
        <v>0.32</v>
      </c>
    </row>
    <row r="566" spans="1:18" x14ac:dyDescent="0.35">
      <c r="A566" s="974" t="s">
        <v>2123</v>
      </c>
      <c r="B566" s="974" t="s">
        <v>2240</v>
      </c>
      <c r="C566" s="974">
        <v>15</v>
      </c>
      <c r="D566" s="974">
        <v>-24</v>
      </c>
      <c r="E566" s="974">
        <v>-26</v>
      </c>
      <c r="F566" s="974">
        <v>30</v>
      </c>
      <c r="G566" s="974">
        <v>23</v>
      </c>
      <c r="H566" s="974">
        <v>4500</v>
      </c>
      <c r="I566" s="974">
        <v>23</v>
      </c>
      <c r="J566" s="974">
        <v>96</v>
      </c>
      <c r="K566" s="974">
        <v>810</v>
      </c>
      <c r="L566" s="974">
        <v>0.9</v>
      </c>
      <c r="M566" s="974">
        <v>1000</v>
      </c>
      <c r="N566" s="974">
        <v>160</v>
      </c>
      <c r="O566" s="974">
        <v>2.6</v>
      </c>
      <c r="P566" s="974">
        <v>0.4</v>
      </c>
      <c r="Q566" s="974">
        <v>0.31</v>
      </c>
      <c r="R566" s="974">
        <v>0.4</v>
      </c>
    </row>
    <row r="567" spans="1:18" x14ac:dyDescent="0.35">
      <c r="A567" s="974" t="s">
        <v>2123</v>
      </c>
      <c r="B567" s="974" t="s">
        <v>2241</v>
      </c>
      <c r="C567" s="974">
        <v>15</v>
      </c>
      <c r="D567" s="974">
        <v>-24</v>
      </c>
      <c r="E567" s="974">
        <v>-26</v>
      </c>
      <c r="F567" s="974">
        <v>30</v>
      </c>
      <c r="G567" s="974">
        <v>23</v>
      </c>
      <c r="H567" s="974">
        <v>4450</v>
      </c>
      <c r="I567" s="974">
        <v>23</v>
      </c>
      <c r="J567" s="974">
        <v>96</v>
      </c>
      <c r="K567" s="974">
        <v>810</v>
      </c>
      <c r="L567" s="974">
        <v>0.9</v>
      </c>
      <c r="M567" s="974">
        <v>1000</v>
      </c>
      <c r="N567" s="974">
        <v>160</v>
      </c>
      <c r="O567" s="974">
        <v>2.7</v>
      </c>
      <c r="P567" s="974">
        <v>0.4</v>
      </c>
      <c r="Q567" s="974">
        <v>0.34</v>
      </c>
      <c r="R567" s="974">
        <v>0.43</v>
      </c>
    </row>
    <row r="568" spans="1:18" x14ac:dyDescent="0.35">
      <c r="A568" s="974" t="s">
        <v>2123</v>
      </c>
      <c r="B568" s="974" t="s">
        <v>2242</v>
      </c>
      <c r="C568" s="974">
        <v>125</v>
      </c>
      <c r="D568" s="974">
        <v>-26</v>
      </c>
      <c r="E568" s="974">
        <v>-28</v>
      </c>
      <c r="F568" s="974">
        <v>29</v>
      </c>
      <c r="G568" s="974">
        <v>23</v>
      </c>
      <c r="H568" s="974">
        <v>4900</v>
      </c>
      <c r="I568" s="974">
        <v>21</v>
      </c>
      <c r="J568" s="974">
        <v>102</v>
      </c>
      <c r="K568" s="974">
        <v>850</v>
      </c>
      <c r="L568" s="974">
        <v>1</v>
      </c>
      <c r="M568" s="974">
        <v>1100</v>
      </c>
      <c r="N568" s="974">
        <v>180</v>
      </c>
      <c r="O568" s="974">
        <v>2.6</v>
      </c>
      <c r="P568" s="974">
        <v>0.6</v>
      </c>
      <c r="Q568" s="974">
        <v>0.27</v>
      </c>
      <c r="R568" s="974">
        <v>0.35</v>
      </c>
    </row>
    <row r="569" spans="1:18" x14ac:dyDescent="0.35">
      <c r="A569" s="974" t="s">
        <v>2123</v>
      </c>
      <c r="B569" s="974" t="s">
        <v>2243</v>
      </c>
      <c r="C569" s="974">
        <v>200</v>
      </c>
      <c r="D569" s="974">
        <v>-31</v>
      </c>
      <c r="E569" s="974">
        <v>-34</v>
      </c>
      <c r="F569" s="974">
        <v>30</v>
      </c>
      <c r="G569" s="974">
        <v>22</v>
      </c>
      <c r="H569" s="974">
        <v>5550</v>
      </c>
      <c r="I569" s="974">
        <v>23</v>
      </c>
      <c r="J569" s="974">
        <v>96</v>
      </c>
      <c r="K569" s="974">
        <v>630</v>
      </c>
      <c r="L569" s="974">
        <v>0.8</v>
      </c>
      <c r="M569" s="974">
        <v>825</v>
      </c>
      <c r="N569" s="974">
        <v>120</v>
      </c>
      <c r="O569" s="974">
        <v>2.2999999999999998</v>
      </c>
      <c r="P569" s="974">
        <v>0.4</v>
      </c>
      <c r="Q569" s="974">
        <v>0.31</v>
      </c>
      <c r="R569" s="974">
        <v>0.4</v>
      </c>
    </row>
    <row r="570" spans="1:18" x14ac:dyDescent="0.35">
      <c r="A570" s="974" t="s">
        <v>2123</v>
      </c>
      <c r="B570" s="974" t="s">
        <v>2244</v>
      </c>
      <c r="C570" s="974">
        <v>120</v>
      </c>
      <c r="D570" s="974">
        <v>-27</v>
      </c>
      <c r="E570" s="974">
        <v>-30</v>
      </c>
      <c r="F570" s="974">
        <v>30</v>
      </c>
      <c r="G570" s="974">
        <v>23</v>
      </c>
      <c r="H570" s="974">
        <v>4820</v>
      </c>
      <c r="I570" s="974">
        <v>23</v>
      </c>
      <c r="J570" s="974">
        <v>91</v>
      </c>
      <c r="K570" s="974">
        <v>780</v>
      </c>
      <c r="L570" s="974">
        <v>0.9</v>
      </c>
      <c r="M570" s="974">
        <v>1020</v>
      </c>
      <c r="N570" s="974">
        <v>160</v>
      </c>
      <c r="O570" s="974">
        <v>2.4</v>
      </c>
      <c r="P570" s="974">
        <v>0.4</v>
      </c>
      <c r="Q570" s="974">
        <v>0.27</v>
      </c>
      <c r="R570" s="974">
        <v>0.34</v>
      </c>
    </row>
    <row r="571" spans="1:18" x14ac:dyDescent="0.35">
      <c r="A571" s="974" t="s">
        <v>2123</v>
      </c>
      <c r="B571" s="974" t="s">
        <v>2110</v>
      </c>
      <c r="C571" s="974">
        <v>205</v>
      </c>
      <c r="D571" s="974">
        <v>-25</v>
      </c>
      <c r="E571" s="974">
        <v>-27</v>
      </c>
      <c r="F571" s="974">
        <v>29</v>
      </c>
      <c r="G571" s="974">
        <v>23</v>
      </c>
      <c r="H571" s="974">
        <v>4650</v>
      </c>
      <c r="I571" s="974">
        <v>23</v>
      </c>
      <c r="J571" s="974">
        <v>96</v>
      </c>
      <c r="K571" s="974">
        <v>980</v>
      </c>
      <c r="L571" s="974">
        <v>1.1000000000000001</v>
      </c>
      <c r="M571" s="974">
        <v>1250</v>
      </c>
      <c r="N571" s="974">
        <v>160</v>
      </c>
      <c r="O571" s="974">
        <v>2.5</v>
      </c>
      <c r="P571" s="974">
        <v>0.4</v>
      </c>
      <c r="Q571" s="974">
        <v>0.27</v>
      </c>
      <c r="R571" s="974">
        <v>0.35</v>
      </c>
    </row>
    <row r="572" spans="1:18" x14ac:dyDescent="0.35">
      <c r="A572" s="974" t="s">
        <v>2123</v>
      </c>
      <c r="B572" s="974" t="s">
        <v>2119</v>
      </c>
      <c r="C572" s="974">
        <v>150</v>
      </c>
      <c r="D572" s="974">
        <v>-25</v>
      </c>
      <c r="E572" s="974">
        <v>-27</v>
      </c>
      <c r="F572" s="974">
        <v>29</v>
      </c>
      <c r="G572" s="974">
        <v>23</v>
      </c>
      <c r="H572" s="974">
        <v>4700</v>
      </c>
      <c r="I572" s="974">
        <v>23</v>
      </c>
      <c r="J572" s="974">
        <v>96</v>
      </c>
      <c r="K572" s="974">
        <v>930</v>
      </c>
      <c r="L572" s="974">
        <v>1</v>
      </c>
      <c r="M572" s="974">
        <v>1075</v>
      </c>
      <c r="N572" s="974">
        <v>160</v>
      </c>
      <c r="O572" s="974">
        <v>2.2999999999999998</v>
      </c>
      <c r="P572" s="974">
        <v>0.4</v>
      </c>
      <c r="Q572" s="974">
        <v>0.25</v>
      </c>
      <c r="R572" s="974">
        <v>0.32</v>
      </c>
    </row>
    <row r="573" spans="1:18" x14ac:dyDescent="0.35">
      <c r="A573" s="974" t="s">
        <v>2123</v>
      </c>
      <c r="B573" s="974" t="s">
        <v>2125</v>
      </c>
      <c r="C573" s="974">
        <v>5</v>
      </c>
      <c r="D573" s="974">
        <v>-21</v>
      </c>
      <c r="E573" s="974">
        <v>-23</v>
      </c>
      <c r="F573" s="974">
        <v>26</v>
      </c>
      <c r="G573" s="974">
        <v>20</v>
      </c>
      <c r="H573" s="974">
        <v>4500</v>
      </c>
      <c r="I573" s="974">
        <v>18</v>
      </c>
      <c r="J573" s="974">
        <v>144</v>
      </c>
      <c r="K573" s="974">
        <v>1175</v>
      </c>
      <c r="L573" s="974">
        <v>1.3</v>
      </c>
      <c r="M573" s="974">
        <v>1450</v>
      </c>
      <c r="N573" s="974">
        <v>260</v>
      </c>
      <c r="O573" s="974">
        <v>2.6</v>
      </c>
      <c r="P573" s="974">
        <v>0.6</v>
      </c>
      <c r="Q573" s="974">
        <v>0.37</v>
      </c>
      <c r="R573" s="974">
        <v>0.48</v>
      </c>
    </row>
    <row r="574" spans="1:18" x14ac:dyDescent="0.35">
      <c r="A574" s="974" t="s">
        <v>2123</v>
      </c>
      <c r="B574" s="974" t="s">
        <v>2245</v>
      </c>
      <c r="C574" s="974">
        <v>10</v>
      </c>
      <c r="D574" s="974">
        <v>-23</v>
      </c>
      <c r="E574" s="974">
        <v>-26</v>
      </c>
      <c r="F574" s="974">
        <v>30</v>
      </c>
      <c r="G574" s="974">
        <v>22</v>
      </c>
      <c r="H574" s="974">
        <v>5020</v>
      </c>
      <c r="I574" s="974">
        <v>20</v>
      </c>
      <c r="J574" s="974">
        <v>106</v>
      </c>
      <c r="K574" s="974">
        <v>775</v>
      </c>
      <c r="L574" s="974">
        <v>0.9</v>
      </c>
      <c r="M574" s="974">
        <v>1020</v>
      </c>
      <c r="N574" s="974">
        <v>180</v>
      </c>
      <c r="O574" s="974">
        <v>4.0999999999999996</v>
      </c>
      <c r="P574" s="974">
        <v>0.6</v>
      </c>
      <c r="Q574" s="974">
        <v>0.37</v>
      </c>
      <c r="R574" s="974">
        <v>0.48</v>
      </c>
    </row>
    <row r="575" spans="1:18" x14ac:dyDescent="0.35">
      <c r="A575" s="974" t="s">
        <v>2123</v>
      </c>
      <c r="B575" s="974" t="s">
        <v>2246</v>
      </c>
      <c r="C575" s="974">
        <v>65</v>
      </c>
      <c r="D575" s="974">
        <v>-25</v>
      </c>
      <c r="E575" s="974">
        <v>-28</v>
      </c>
      <c r="F575" s="974">
        <v>29</v>
      </c>
      <c r="G575" s="974">
        <v>21</v>
      </c>
      <c r="H575" s="974">
        <v>4900</v>
      </c>
      <c r="I575" s="974">
        <v>20</v>
      </c>
      <c r="J575" s="974">
        <v>96</v>
      </c>
      <c r="K575" s="974">
        <v>800</v>
      </c>
      <c r="L575" s="974">
        <v>0.9</v>
      </c>
      <c r="M575" s="974">
        <v>1075</v>
      </c>
      <c r="N575" s="974">
        <v>180</v>
      </c>
      <c r="O575" s="974">
        <v>3.6</v>
      </c>
      <c r="P575" s="974">
        <v>0.6</v>
      </c>
      <c r="Q575" s="974">
        <v>0.3</v>
      </c>
      <c r="R575" s="974">
        <v>0.39</v>
      </c>
    </row>
    <row r="576" spans="1:18" x14ac:dyDescent="0.35">
      <c r="A576" s="974" t="s">
        <v>2123</v>
      </c>
      <c r="B576" s="974" t="s">
        <v>2247</v>
      </c>
      <c r="C576" s="974">
        <v>30</v>
      </c>
      <c r="D576" s="974">
        <v>-26</v>
      </c>
      <c r="E576" s="974">
        <v>-28</v>
      </c>
      <c r="F576" s="974">
        <v>29</v>
      </c>
      <c r="G576" s="974">
        <v>22</v>
      </c>
      <c r="H576" s="974">
        <v>5500</v>
      </c>
      <c r="I576" s="974">
        <v>20</v>
      </c>
      <c r="J576" s="974">
        <v>107</v>
      </c>
      <c r="K576" s="974">
        <v>725</v>
      </c>
      <c r="L576" s="974">
        <v>0.9</v>
      </c>
      <c r="M576" s="974">
        <v>1025</v>
      </c>
      <c r="N576" s="974">
        <v>180</v>
      </c>
      <c r="O576" s="974">
        <v>4.3</v>
      </c>
      <c r="P576" s="974">
        <v>0.4</v>
      </c>
      <c r="Q576" s="974">
        <v>0.35</v>
      </c>
      <c r="R576" s="974">
        <v>0.45</v>
      </c>
    </row>
    <row r="577" spans="1:18" x14ac:dyDescent="0.35">
      <c r="A577" s="974" t="s">
        <v>2123</v>
      </c>
      <c r="B577" s="974" t="s">
        <v>2248</v>
      </c>
      <c r="C577" s="974">
        <v>160</v>
      </c>
      <c r="D577" s="974">
        <v>-27</v>
      </c>
      <c r="E577" s="974">
        <v>-29</v>
      </c>
      <c r="F577" s="974">
        <v>28</v>
      </c>
      <c r="G577" s="974">
        <v>22</v>
      </c>
      <c r="H577" s="974">
        <v>5320</v>
      </c>
      <c r="I577" s="974">
        <v>23</v>
      </c>
      <c r="J577" s="974">
        <v>91</v>
      </c>
      <c r="K577" s="974">
        <v>750</v>
      </c>
      <c r="L577" s="974">
        <v>0.9</v>
      </c>
      <c r="M577" s="974">
        <v>1000</v>
      </c>
      <c r="N577" s="974">
        <v>160</v>
      </c>
      <c r="O577" s="974">
        <v>3.4</v>
      </c>
      <c r="P577" s="974">
        <v>0.6</v>
      </c>
      <c r="Q577" s="974">
        <v>0.3</v>
      </c>
      <c r="R577" s="974">
        <v>0.38</v>
      </c>
    </row>
    <row r="578" spans="1:18" x14ac:dyDescent="0.35">
      <c r="A578" s="974" t="s">
        <v>2123</v>
      </c>
      <c r="B578" s="974" t="s">
        <v>2249</v>
      </c>
      <c r="C578" s="974">
        <v>15</v>
      </c>
      <c r="D578" s="974">
        <v>-24</v>
      </c>
      <c r="E578" s="974">
        <v>-27</v>
      </c>
      <c r="F578" s="974">
        <v>29</v>
      </c>
      <c r="G578" s="974">
        <v>22</v>
      </c>
      <c r="H578" s="974">
        <v>4670</v>
      </c>
      <c r="I578" s="974">
        <v>22</v>
      </c>
      <c r="J578" s="974">
        <v>112</v>
      </c>
      <c r="K578" s="974">
        <v>900</v>
      </c>
      <c r="L578" s="974">
        <v>1</v>
      </c>
      <c r="M578" s="974">
        <v>1100</v>
      </c>
      <c r="N578" s="974">
        <v>160</v>
      </c>
      <c r="O578" s="974">
        <v>3.1</v>
      </c>
      <c r="P578" s="974">
        <v>0.6</v>
      </c>
      <c r="Q578" s="974">
        <v>0.3</v>
      </c>
      <c r="R578" s="974">
        <v>0.38</v>
      </c>
    </row>
    <row r="579" spans="1:18" x14ac:dyDescent="0.35">
      <c r="A579" s="974" t="s">
        <v>2123</v>
      </c>
      <c r="B579" s="974" t="s">
        <v>2250</v>
      </c>
      <c r="C579" s="974">
        <v>20</v>
      </c>
      <c r="D579" s="974">
        <v>-24</v>
      </c>
      <c r="E579" s="974">
        <v>-26</v>
      </c>
      <c r="F579" s="974">
        <v>29</v>
      </c>
      <c r="G579" s="974">
        <v>22</v>
      </c>
      <c r="H579" s="974">
        <v>4460</v>
      </c>
      <c r="I579" s="974">
        <v>20</v>
      </c>
      <c r="J579" s="974">
        <v>112</v>
      </c>
      <c r="K579" s="974">
        <v>900</v>
      </c>
      <c r="L579" s="974">
        <v>1</v>
      </c>
      <c r="M579" s="974">
        <v>1125</v>
      </c>
      <c r="N579" s="974">
        <v>180</v>
      </c>
      <c r="O579" s="974">
        <v>2.8</v>
      </c>
      <c r="P579" s="974">
        <v>0.6</v>
      </c>
      <c r="Q579" s="974">
        <v>0.31</v>
      </c>
      <c r="R579" s="974">
        <v>0.4</v>
      </c>
    </row>
    <row r="580" spans="1:18" x14ac:dyDescent="0.35">
      <c r="A580" s="974" t="s">
        <v>2123</v>
      </c>
      <c r="B580" s="974" t="s">
        <v>2251</v>
      </c>
      <c r="C580" s="974">
        <v>115</v>
      </c>
      <c r="D580" s="974">
        <v>-27</v>
      </c>
      <c r="E580" s="974">
        <v>-30</v>
      </c>
      <c r="F580" s="974">
        <v>28</v>
      </c>
      <c r="G580" s="974">
        <v>22</v>
      </c>
      <c r="H580" s="974">
        <v>5300</v>
      </c>
      <c r="I580" s="974">
        <v>23</v>
      </c>
      <c r="J580" s="974">
        <v>107</v>
      </c>
      <c r="K580" s="974">
        <v>850</v>
      </c>
      <c r="L580" s="974">
        <v>1</v>
      </c>
      <c r="M580" s="974">
        <v>1100</v>
      </c>
      <c r="N580" s="974">
        <v>160</v>
      </c>
      <c r="O580" s="974">
        <v>3.6</v>
      </c>
      <c r="P580" s="974">
        <v>0.6</v>
      </c>
      <c r="Q580" s="974">
        <v>0.3</v>
      </c>
      <c r="R580" s="974">
        <v>0.38</v>
      </c>
    </row>
    <row r="581" spans="1:18" x14ac:dyDescent="0.35">
      <c r="A581" s="974" t="s">
        <v>2123</v>
      </c>
      <c r="B581" s="974" t="s">
        <v>2252</v>
      </c>
      <c r="C581" s="974">
        <v>5</v>
      </c>
      <c r="D581" s="974">
        <v>-24</v>
      </c>
      <c r="E581" s="974">
        <v>-26</v>
      </c>
      <c r="F581" s="974">
        <v>30</v>
      </c>
      <c r="G581" s="974">
        <v>22</v>
      </c>
      <c r="H581" s="974">
        <v>4950</v>
      </c>
      <c r="I581" s="974">
        <v>20</v>
      </c>
      <c r="J581" s="974">
        <v>96</v>
      </c>
      <c r="K581" s="974">
        <v>825</v>
      </c>
      <c r="L581" s="974">
        <v>1</v>
      </c>
      <c r="M581" s="974">
        <v>1050</v>
      </c>
      <c r="N581" s="974">
        <v>200</v>
      </c>
      <c r="O581" s="974">
        <v>3.4</v>
      </c>
      <c r="P581" s="974">
        <v>0.6</v>
      </c>
      <c r="Q581" s="974">
        <v>0.32</v>
      </c>
      <c r="R581" s="974">
        <v>0.41</v>
      </c>
    </row>
    <row r="582" spans="1:18" x14ac:dyDescent="0.35">
      <c r="A582" s="974" t="s">
        <v>2123</v>
      </c>
      <c r="B582" s="974" t="s">
        <v>2253</v>
      </c>
      <c r="C582" s="974">
        <v>20</v>
      </c>
      <c r="D582" s="974">
        <v>-23</v>
      </c>
      <c r="E582" s="974">
        <v>-25</v>
      </c>
      <c r="F582" s="974">
        <v>28</v>
      </c>
      <c r="G582" s="974">
        <v>21</v>
      </c>
      <c r="H582" s="974">
        <v>4680</v>
      </c>
      <c r="I582" s="974">
        <v>20</v>
      </c>
      <c r="J582" s="974">
        <v>112</v>
      </c>
      <c r="K582" s="974">
        <v>850</v>
      </c>
      <c r="L582" s="974">
        <v>1</v>
      </c>
      <c r="M582" s="974">
        <v>1175</v>
      </c>
      <c r="N582" s="974">
        <v>220</v>
      </c>
      <c r="O582" s="974">
        <v>3</v>
      </c>
      <c r="P582" s="974">
        <v>0.6</v>
      </c>
      <c r="Q582" s="974">
        <v>0.39</v>
      </c>
      <c r="R582" s="974">
        <v>0.5</v>
      </c>
    </row>
    <row r="583" spans="1:18" x14ac:dyDescent="0.35">
      <c r="A583" s="974" t="s">
        <v>2123</v>
      </c>
      <c r="B583" s="974" t="s">
        <v>2254</v>
      </c>
      <c r="C583" s="974">
        <v>20</v>
      </c>
      <c r="D583" s="974">
        <v>-24</v>
      </c>
      <c r="E583" s="974">
        <v>-26</v>
      </c>
      <c r="F583" s="974">
        <v>29</v>
      </c>
      <c r="G583" s="974">
        <v>22</v>
      </c>
      <c r="H583" s="974">
        <v>4650</v>
      </c>
      <c r="I583" s="974">
        <v>22</v>
      </c>
      <c r="J583" s="974">
        <v>112</v>
      </c>
      <c r="K583" s="974">
        <v>900</v>
      </c>
      <c r="L583" s="974">
        <v>1</v>
      </c>
      <c r="M583" s="974">
        <v>1110</v>
      </c>
      <c r="N583" s="974">
        <v>160</v>
      </c>
      <c r="O583" s="974">
        <v>3</v>
      </c>
      <c r="P583" s="974">
        <v>0.6</v>
      </c>
      <c r="Q583" s="974">
        <v>0.3</v>
      </c>
      <c r="R583" s="974">
        <v>0.39</v>
      </c>
    </row>
    <row r="584" spans="1:18" x14ac:dyDescent="0.35">
      <c r="A584" s="974" t="s">
        <v>2123</v>
      </c>
      <c r="B584" s="974" t="s">
        <v>2255</v>
      </c>
      <c r="C584" s="974">
        <v>15</v>
      </c>
      <c r="D584" s="974">
        <v>-22</v>
      </c>
      <c r="E584" s="974">
        <v>-24</v>
      </c>
      <c r="F584" s="974">
        <v>27</v>
      </c>
      <c r="G584" s="974">
        <v>21</v>
      </c>
      <c r="H584" s="974">
        <v>4590</v>
      </c>
      <c r="I584" s="974">
        <v>18</v>
      </c>
      <c r="J584" s="974">
        <v>112</v>
      </c>
      <c r="K584" s="974">
        <v>975</v>
      </c>
      <c r="L584" s="974">
        <v>1.1000000000000001</v>
      </c>
      <c r="M584" s="974">
        <v>1175</v>
      </c>
      <c r="N584" s="974">
        <v>220</v>
      </c>
      <c r="O584" s="974">
        <v>2.5</v>
      </c>
      <c r="P584" s="974">
        <v>0.6</v>
      </c>
      <c r="Q584" s="974">
        <v>0.38</v>
      </c>
      <c r="R584" s="974">
        <v>0.49</v>
      </c>
    </row>
    <row r="585" spans="1:18" x14ac:dyDescent="0.35">
      <c r="A585" s="974" t="s">
        <v>2123</v>
      </c>
      <c r="B585" s="974" t="s">
        <v>2256</v>
      </c>
      <c r="C585" s="974">
        <v>35</v>
      </c>
      <c r="D585" s="974">
        <v>-22</v>
      </c>
      <c r="E585" s="974">
        <v>-24</v>
      </c>
      <c r="F585" s="974">
        <v>25</v>
      </c>
      <c r="G585" s="974">
        <v>20</v>
      </c>
      <c r="H585" s="974">
        <v>4680</v>
      </c>
      <c r="I585" s="974">
        <v>19</v>
      </c>
      <c r="J585" s="974">
        <v>123</v>
      </c>
      <c r="K585" s="974">
        <v>1000</v>
      </c>
      <c r="L585" s="974">
        <v>1.2</v>
      </c>
      <c r="M585" s="974">
        <v>1200</v>
      </c>
      <c r="N585" s="974">
        <v>220</v>
      </c>
      <c r="O585" s="974">
        <v>2.8</v>
      </c>
      <c r="P585" s="974">
        <v>0.6</v>
      </c>
      <c r="Q585" s="974">
        <v>0.35</v>
      </c>
      <c r="R585" s="974">
        <v>0.45</v>
      </c>
    </row>
    <row r="586" spans="1:18" x14ac:dyDescent="0.35">
      <c r="A586" s="974" t="s">
        <v>2123</v>
      </c>
      <c r="B586" s="974" t="s">
        <v>2257</v>
      </c>
      <c r="C586" s="974">
        <v>5</v>
      </c>
      <c r="D586" s="974">
        <v>-22</v>
      </c>
      <c r="E586" s="974">
        <v>-24</v>
      </c>
      <c r="F586" s="974">
        <v>25</v>
      </c>
      <c r="G586" s="974">
        <v>20</v>
      </c>
      <c r="H586" s="974">
        <v>4570</v>
      </c>
      <c r="I586" s="974">
        <v>18</v>
      </c>
      <c r="J586" s="974">
        <v>139</v>
      </c>
      <c r="K586" s="974">
        <v>1100</v>
      </c>
      <c r="L586" s="974">
        <v>1.3</v>
      </c>
      <c r="M586" s="974">
        <v>1425</v>
      </c>
      <c r="N586" s="974">
        <v>260</v>
      </c>
      <c r="O586" s="974">
        <v>2.2999999999999998</v>
      </c>
      <c r="P586" s="974">
        <v>0.6</v>
      </c>
      <c r="Q586" s="974">
        <v>0.41</v>
      </c>
      <c r="R586" s="974">
        <v>0.53</v>
      </c>
    </row>
    <row r="587" spans="1:18" x14ac:dyDescent="0.35">
      <c r="A587" s="974" t="s">
        <v>2123</v>
      </c>
      <c r="B587" s="974" t="s">
        <v>2258</v>
      </c>
      <c r="C587" s="974">
        <v>5</v>
      </c>
      <c r="D587" s="974">
        <v>-22</v>
      </c>
      <c r="E587" s="974">
        <v>-24</v>
      </c>
      <c r="F587" s="974">
        <v>28</v>
      </c>
      <c r="G587" s="974">
        <v>21</v>
      </c>
      <c r="H587" s="974">
        <v>4930</v>
      </c>
      <c r="I587" s="974">
        <v>18</v>
      </c>
      <c r="J587" s="974">
        <v>96</v>
      </c>
      <c r="K587" s="974">
        <v>800</v>
      </c>
      <c r="L587" s="974">
        <v>1</v>
      </c>
      <c r="M587" s="974">
        <v>1050</v>
      </c>
      <c r="N587" s="974">
        <v>260</v>
      </c>
      <c r="O587" s="974">
        <v>3.4</v>
      </c>
      <c r="P587" s="974">
        <v>0.6</v>
      </c>
      <c r="Q587" s="974">
        <v>0.49</v>
      </c>
      <c r="R587" s="974">
        <v>0.63</v>
      </c>
    </row>
    <row r="588" spans="1:18" x14ac:dyDescent="0.35">
      <c r="A588" s="974" t="s">
        <v>2123</v>
      </c>
      <c r="B588" s="974" t="s">
        <v>2259</v>
      </c>
      <c r="C588" s="974">
        <v>35</v>
      </c>
      <c r="D588" s="974">
        <v>-21</v>
      </c>
      <c r="E588" s="974">
        <v>-23</v>
      </c>
      <c r="F588" s="974">
        <v>25</v>
      </c>
      <c r="G588" s="974">
        <v>20</v>
      </c>
      <c r="H588" s="974">
        <v>4680</v>
      </c>
      <c r="I588" s="974">
        <v>18</v>
      </c>
      <c r="J588" s="974">
        <v>123</v>
      </c>
      <c r="K588" s="974">
        <v>1000</v>
      </c>
      <c r="L588" s="974">
        <v>1.2</v>
      </c>
      <c r="M588" s="974">
        <v>1200</v>
      </c>
      <c r="N588" s="974">
        <v>220</v>
      </c>
      <c r="O588" s="974">
        <v>2.8</v>
      </c>
      <c r="P588" s="974">
        <v>0.6</v>
      </c>
      <c r="Q588" s="974">
        <v>0.35</v>
      </c>
      <c r="R588" s="974">
        <v>0.45</v>
      </c>
    </row>
    <row r="589" spans="1:18" x14ac:dyDescent="0.35">
      <c r="A589" s="974" t="s">
        <v>2123</v>
      </c>
      <c r="B589" s="974" t="s">
        <v>2260</v>
      </c>
      <c r="C589" s="974">
        <v>20</v>
      </c>
      <c r="D589" s="974">
        <v>-24</v>
      </c>
      <c r="E589" s="974">
        <v>-26</v>
      </c>
      <c r="F589" s="974">
        <v>28</v>
      </c>
      <c r="G589" s="974">
        <v>22</v>
      </c>
      <c r="H589" s="974">
        <v>4700</v>
      </c>
      <c r="I589" s="974">
        <v>20</v>
      </c>
      <c r="J589" s="974">
        <v>123</v>
      </c>
      <c r="K589" s="974">
        <v>1000</v>
      </c>
      <c r="L589" s="974">
        <v>1.2</v>
      </c>
      <c r="M589" s="974">
        <v>1160</v>
      </c>
      <c r="N589" s="974">
        <v>180</v>
      </c>
      <c r="O589" s="974">
        <v>2.9</v>
      </c>
      <c r="P589" s="974">
        <v>0.6</v>
      </c>
      <c r="Q589" s="974">
        <v>0.33</v>
      </c>
      <c r="R589" s="974">
        <v>0.42</v>
      </c>
    </row>
    <row r="590" spans="1:18" x14ac:dyDescent="0.35">
      <c r="A590" s="974" t="s">
        <v>2123</v>
      </c>
      <c r="B590" s="974" t="s">
        <v>2121</v>
      </c>
      <c r="C590" s="974">
        <v>60</v>
      </c>
      <c r="D590" s="974">
        <v>-26</v>
      </c>
      <c r="E590" s="974">
        <v>-29</v>
      </c>
      <c r="F590" s="974">
        <v>30</v>
      </c>
      <c r="G590" s="974">
        <v>22</v>
      </c>
      <c r="H590" s="974">
        <v>4910</v>
      </c>
      <c r="I590" s="974">
        <v>22</v>
      </c>
      <c r="J590" s="974">
        <v>107</v>
      </c>
      <c r="K590" s="974">
        <v>875</v>
      </c>
      <c r="L590" s="974">
        <v>1</v>
      </c>
      <c r="M590" s="974">
        <v>1100</v>
      </c>
      <c r="N590" s="974">
        <v>160</v>
      </c>
      <c r="O590" s="974">
        <v>3.1</v>
      </c>
      <c r="P590" s="974">
        <v>0.6</v>
      </c>
      <c r="Q590" s="974">
        <v>0.28999999999999998</v>
      </c>
      <c r="R590" s="974">
        <v>0.37</v>
      </c>
    </row>
    <row r="591" spans="1:18" x14ac:dyDescent="0.35">
      <c r="A591" s="974" t="s">
        <v>2261</v>
      </c>
      <c r="B591" s="974" t="s">
        <v>2262</v>
      </c>
      <c r="C591" s="974">
        <v>25</v>
      </c>
      <c r="D591" s="974">
        <v>-21</v>
      </c>
      <c r="E591" s="974">
        <v>-24</v>
      </c>
      <c r="F591" s="974">
        <v>27</v>
      </c>
      <c r="G591" s="974">
        <v>21</v>
      </c>
      <c r="H591" s="974">
        <v>4500</v>
      </c>
      <c r="I591" s="974">
        <v>18</v>
      </c>
      <c r="J591" s="974">
        <v>118</v>
      </c>
      <c r="K591" s="974">
        <v>950</v>
      </c>
      <c r="L591" s="974">
        <v>1.1000000000000001</v>
      </c>
      <c r="M591" s="974">
        <v>1150</v>
      </c>
      <c r="N591" s="974">
        <v>220</v>
      </c>
      <c r="O591" s="974">
        <v>2.4</v>
      </c>
      <c r="P591" s="974">
        <v>0.6</v>
      </c>
      <c r="Q591" s="974">
        <v>0.37</v>
      </c>
      <c r="R591" s="974">
        <v>0.48</v>
      </c>
    </row>
    <row r="592" spans="1:18" x14ac:dyDescent="0.35">
      <c r="A592" s="974" t="s">
        <v>2261</v>
      </c>
      <c r="B592" s="974" t="s">
        <v>2263</v>
      </c>
      <c r="C592" s="974">
        <v>10</v>
      </c>
      <c r="D592" s="974">
        <v>-17</v>
      </c>
      <c r="E592" s="974">
        <v>-20</v>
      </c>
      <c r="F592" s="974">
        <v>27</v>
      </c>
      <c r="G592" s="974">
        <v>21</v>
      </c>
      <c r="H592" s="974">
        <v>4510</v>
      </c>
      <c r="I592" s="974">
        <v>15</v>
      </c>
      <c r="J592" s="974">
        <v>123</v>
      </c>
      <c r="K592" s="974">
        <v>1100</v>
      </c>
      <c r="L592" s="974">
        <v>1.3</v>
      </c>
      <c r="M592" s="974">
        <v>1250</v>
      </c>
      <c r="N592" s="974">
        <v>240</v>
      </c>
      <c r="O592" s="974">
        <v>2.2999999999999998</v>
      </c>
      <c r="P592" s="974">
        <v>0.6</v>
      </c>
      <c r="Q592" s="974">
        <v>0.42</v>
      </c>
      <c r="R592" s="974">
        <v>0.54</v>
      </c>
    </row>
    <row r="593" spans="1:18" x14ac:dyDescent="0.35">
      <c r="A593" s="974" t="s">
        <v>2261</v>
      </c>
      <c r="B593" s="974" t="s">
        <v>2264</v>
      </c>
      <c r="C593" s="974">
        <v>10</v>
      </c>
      <c r="D593" s="974">
        <v>-15</v>
      </c>
      <c r="E593" s="974">
        <v>-17</v>
      </c>
      <c r="F593" s="974">
        <v>27</v>
      </c>
      <c r="G593" s="974">
        <v>20</v>
      </c>
      <c r="H593" s="974">
        <v>4140</v>
      </c>
      <c r="I593" s="974">
        <v>16</v>
      </c>
      <c r="J593" s="974">
        <v>144</v>
      </c>
      <c r="K593" s="974">
        <v>1300</v>
      </c>
      <c r="L593" s="974">
        <v>1.5</v>
      </c>
      <c r="M593" s="974">
        <v>1475</v>
      </c>
      <c r="N593" s="974">
        <v>260</v>
      </c>
      <c r="O593" s="974">
        <v>1.9</v>
      </c>
      <c r="P593" s="974">
        <v>0.6</v>
      </c>
      <c r="Q593" s="974">
        <v>0.43</v>
      </c>
      <c r="R593" s="974">
        <v>0.55000000000000004</v>
      </c>
    </row>
    <row r="594" spans="1:18" x14ac:dyDescent="0.35">
      <c r="A594" s="974" t="s">
        <v>2261</v>
      </c>
      <c r="B594" s="974" t="s">
        <v>2265</v>
      </c>
      <c r="C594" s="974">
        <v>5</v>
      </c>
      <c r="D594" s="974">
        <v>-13</v>
      </c>
      <c r="E594" s="974">
        <v>-15</v>
      </c>
      <c r="F594" s="974">
        <v>25</v>
      </c>
      <c r="G594" s="974">
        <v>20</v>
      </c>
      <c r="H594" s="974">
        <v>4400</v>
      </c>
      <c r="I594" s="974">
        <v>15</v>
      </c>
      <c r="J594" s="974">
        <v>123</v>
      </c>
      <c r="K594" s="974">
        <v>1325</v>
      </c>
      <c r="L594" s="974">
        <v>1.5</v>
      </c>
      <c r="M594" s="974">
        <v>1400</v>
      </c>
      <c r="N594" s="974">
        <v>260</v>
      </c>
      <c r="O594" s="974">
        <v>1.7</v>
      </c>
      <c r="P594" s="974">
        <v>0.6</v>
      </c>
      <c r="Q594" s="974">
        <v>0.48</v>
      </c>
      <c r="R594" s="974">
        <v>0.61</v>
      </c>
    </row>
    <row r="595" spans="1:18" x14ac:dyDescent="0.35">
      <c r="A595" s="974" t="s">
        <v>2261</v>
      </c>
      <c r="B595" s="974" t="s">
        <v>2266</v>
      </c>
      <c r="C595" s="974">
        <v>45</v>
      </c>
      <c r="D595" s="974">
        <v>-21</v>
      </c>
      <c r="E595" s="974">
        <v>-24</v>
      </c>
      <c r="F595" s="974">
        <v>27</v>
      </c>
      <c r="G595" s="974">
        <v>21</v>
      </c>
      <c r="H595" s="974">
        <v>4500</v>
      </c>
      <c r="I595" s="974">
        <v>18</v>
      </c>
      <c r="J595" s="974">
        <v>118</v>
      </c>
      <c r="K595" s="974">
        <v>1000</v>
      </c>
      <c r="L595" s="974">
        <v>1.2</v>
      </c>
      <c r="M595" s="974">
        <v>1200</v>
      </c>
      <c r="N595" s="974">
        <v>240</v>
      </c>
      <c r="O595" s="974">
        <v>2.1</v>
      </c>
      <c r="P595" s="974">
        <v>0.6</v>
      </c>
      <c r="Q595" s="974">
        <v>0.37</v>
      </c>
      <c r="R595" s="974">
        <v>0.48</v>
      </c>
    </row>
    <row r="596" spans="1:18" x14ac:dyDescent="0.35">
      <c r="A596" s="974" t="s">
        <v>2261</v>
      </c>
      <c r="B596" s="974" t="s">
        <v>2267</v>
      </c>
      <c r="C596" s="974">
        <v>35</v>
      </c>
      <c r="D596" s="974">
        <v>-15</v>
      </c>
      <c r="E596" s="974">
        <v>-17</v>
      </c>
      <c r="F596" s="974">
        <v>25</v>
      </c>
      <c r="G596" s="974">
        <v>20</v>
      </c>
      <c r="H596" s="974">
        <v>4020</v>
      </c>
      <c r="I596" s="974">
        <v>15</v>
      </c>
      <c r="J596" s="974">
        <v>130</v>
      </c>
      <c r="K596" s="974">
        <v>1100</v>
      </c>
      <c r="L596" s="974">
        <v>1.3</v>
      </c>
      <c r="M596" s="974">
        <v>1275</v>
      </c>
      <c r="N596" s="974">
        <v>260</v>
      </c>
      <c r="O596" s="974">
        <v>2.2000000000000002</v>
      </c>
      <c r="P596" s="974">
        <v>0.6</v>
      </c>
      <c r="Q596" s="974">
        <v>0.43</v>
      </c>
      <c r="R596" s="974">
        <v>0.55000000000000004</v>
      </c>
    </row>
    <row r="597" spans="1:18" x14ac:dyDescent="0.35">
      <c r="A597" s="974" t="s">
        <v>2261</v>
      </c>
      <c r="B597" s="974" t="s">
        <v>2268</v>
      </c>
      <c r="C597" s="974">
        <v>28</v>
      </c>
      <c r="D597" s="974">
        <v>-18</v>
      </c>
      <c r="E597" s="974">
        <v>-20</v>
      </c>
      <c r="F597" s="974">
        <v>29</v>
      </c>
      <c r="G597" s="974">
        <v>22</v>
      </c>
      <c r="H597" s="974">
        <v>4140</v>
      </c>
      <c r="I597" s="974">
        <v>16</v>
      </c>
      <c r="J597" s="974">
        <v>118</v>
      </c>
      <c r="K597" s="974">
        <v>925</v>
      </c>
      <c r="L597" s="974">
        <v>1.1000000000000001</v>
      </c>
      <c r="M597" s="974">
        <v>1100</v>
      </c>
      <c r="N597" s="974">
        <v>280</v>
      </c>
      <c r="O597" s="974">
        <v>2.7</v>
      </c>
      <c r="P597" s="974">
        <v>0.6</v>
      </c>
      <c r="Q597" s="974">
        <v>0.42</v>
      </c>
      <c r="R597" s="974">
        <v>0.54</v>
      </c>
    </row>
    <row r="598" spans="1:18" x14ac:dyDescent="0.35">
      <c r="A598" s="974" t="s">
        <v>2261</v>
      </c>
      <c r="B598" s="974" t="s">
        <v>2269</v>
      </c>
      <c r="C598" s="974">
        <v>10</v>
      </c>
      <c r="D598" s="974">
        <v>-16</v>
      </c>
      <c r="E598" s="974">
        <v>-18</v>
      </c>
      <c r="F598" s="974">
        <v>26</v>
      </c>
      <c r="G598" s="974">
        <v>20</v>
      </c>
      <c r="H598" s="974">
        <v>4100</v>
      </c>
      <c r="I598" s="974">
        <v>18</v>
      </c>
      <c r="J598" s="974">
        <v>144</v>
      </c>
      <c r="K598" s="974">
        <v>1250</v>
      </c>
      <c r="L598" s="974">
        <v>1.4</v>
      </c>
      <c r="M598" s="974">
        <v>1400</v>
      </c>
      <c r="N598" s="974">
        <v>280</v>
      </c>
      <c r="O598" s="974">
        <v>1.6</v>
      </c>
      <c r="P598" s="974">
        <v>0.6</v>
      </c>
      <c r="Q598" s="974">
        <v>0.45</v>
      </c>
      <c r="R598" s="974">
        <v>0.57999999999999996</v>
      </c>
    </row>
    <row r="599" spans="1:18" x14ac:dyDescent="0.35">
      <c r="A599" s="974" t="s">
        <v>2261</v>
      </c>
      <c r="B599" s="974" t="s">
        <v>2270</v>
      </c>
      <c r="C599" s="974">
        <v>55</v>
      </c>
      <c r="D599" s="974">
        <v>-16</v>
      </c>
      <c r="E599" s="974">
        <v>-18</v>
      </c>
      <c r="F599" s="974">
        <v>26</v>
      </c>
      <c r="G599" s="974">
        <v>20</v>
      </c>
      <c r="H599" s="974">
        <v>4000</v>
      </c>
      <c r="I599" s="974">
        <v>17</v>
      </c>
      <c r="J599" s="974">
        <v>150</v>
      </c>
      <c r="K599" s="974">
        <v>1350</v>
      </c>
      <c r="L599" s="974">
        <v>1.5</v>
      </c>
      <c r="M599" s="974">
        <v>1500</v>
      </c>
      <c r="N599" s="974">
        <v>280</v>
      </c>
      <c r="O599" s="974">
        <v>1.9</v>
      </c>
      <c r="P599" s="974">
        <v>0.6</v>
      </c>
      <c r="Q599" s="974">
        <v>0.45</v>
      </c>
      <c r="R599" s="974">
        <v>0.57999999999999996</v>
      </c>
    </row>
    <row r="600" spans="1:18" x14ac:dyDescent="0.35">
      <c r="A600" s="974" t="s">
        <v>2261</v>
      </c>
      <c r="B600" s="974" t="s">
        <v>2271</v>
      </c>
      <c r="C600" s="974">
        <v>25</v>
      </c>
      <c r="D600" s="974">
        <v>-18</v>
      </c>
      <c r="E600" s="974">
        <v>-20</v>
      </c>
      <c r="F600" s="974">
        <v>28</v>
      </c>
      <c r="G600" s="974">
        <v>21</v>
      </c>
      <c r="H600" s="974">
        <v>4130</v>
      </c>
      <c r="I600" s="974">
        <v>17</v>
      </c>
      <c r="J600" s="974">
        <v>118</v>
      </c>
      <c r="K600" s="974">
        <v>950</v>
      </c>
      <c r="L600" s="974">
        <v>1.1000000000000001</v>
      </c>
      <c r="M600" s="974">
        <v>1200</v>
      </c>
      <c r="N600" s="974">
        <v>260</v>
      </c>
      <c r="O600" s="974">
        <v>2.6</v>
      </c>
      <c r="P600" s="974">
        <v>0.6</v>
      </c>
      <c r="Q600" s="974">
        <v>0.42</v>
      </c>
      <c r="R600" s="974">
        <v>0.54</v>
      </c>
    </row>
    <row r="601" spans="1:18" x14ac:dyDescent="0.35">
      <c r="A601" s="974" t="s">
        <v>2261</v>
      </c>
      <c r="B601" s="974" t="s">
        <v>2272</v>
      </c>
      <c r="C601" s="974">
        <v>20</v>
      </c>
      <c r="D601" s="974">
        <v>-16</v>
      </c>
      <c r="E601" s="974">
        <v>-18</v>
      </c>
      <c r="F601" s="974">
        <v>27</v>
      </c>
      <c r="G601" s="974">
        <v>20</v>
      </c>
      <c r="H601" s="974">
        <v>3990</v>
      </c>
      <c r="I601" s="974">
        <v>16</v>
      </c>
      <c r="J601" s="974">
        <v>150</v>
      </c>
      <c r="K601" s="974">
        <v>1325</v>
      </c>
      <c r="L601" s="974">
        <v>1.5</v>
      </c>
      <c r="M601" s="974">
        <v>1425</v>
      </c>
      <c r="N601" s="974">
        <v>280</v>
      </c>
      <c r="O601" s="974">
        <v>1.7</v>
      </c>
      <c r="P601" s="974">
        <v>0.6</v>
      </c>
      <c r="Q601" s="974">
        <v>0.48</v>
      </c>
      <c r="R601" s="974">
        <v>0.61</v>
      </c>
    </row>
    <row r="602" spans="1:18" x14ac:dyDescent="0.35">
      <c r="A602" s="974" t="s">
        <v>2261</v>
      </c>
      <c r="B602" s="974" t="s">
        <v>2273</v>
      </c>
      <c r="C602" s="974">
        <v>5</v>
      </c>
      <c r="D602" s="974">
        <v>-14</v>
      </c>
      <c r="E602" s="974">
        <v>-16</v>
      </c>
      <c r="F602" s="974">
        <v>25</v>
      </c>
      <c r="G602" s="974">
        <v>20</v>
      </c>
      <c r="H602" s="974">
        <v>4000</v>
      </c>
      <c r="I602" s="974">
        <v>18</v>
      </c>
      <c r="J602" s="974">
        <v>139</v>
      </c>
      <c r="K602" s="974">
        <v>1250</v>
      </c>
      <c r="L602" s="974">
        <v>1.4</v>
      </c>
      <c r="M602" s="974">
        <v>1450</v>
      </c>
      <c r="N602" s="974">
        <v>280</v>
      </c>
      <c r="O602" s="974">
        <v>1.4</v>
      </c>
      <c r="P602" s="974">
        <v>0.6</v>
      </c>
      <c r="Q602" s="974">
        <v>0.47</v>
      </c>
      <c r="R602" s="974">
        <v>0.6</v>
      </c>
    </row>
    <row r="603" spans="1:18" x14ac:dyDescent="0.35">
      <c r="A603" s="974" t="s">
        <v>2261</v>
      </c>
      <c r="B603" s="974" t="s">
        <v>2274</v>
      </c>
      <c r="C603" s="974">
        <v>5</v>
      </c>
      <c r="D603" s="974">
        <v>-15</v>
      </c>
      <c r="E603" s="974">
        <v>-17</v>
      </c>
      <c r="F603" s="974">
        <v>26</v>
      </c>
      <c r="G603" s="974">
        <v>20</v>
      </c>
      <c r="H603" s="974">
        <v>4530</v>
      </c>
      <c r="I603" s="974">
        <v>15</v>
      </c>
      <c r="J603" s="974">
        <v>118</v>
      </c>
      <c r="K603" s="974">
        <v>1300</v>
      </c>
      <c r="L603" s="974">
        <v>1.5</v>
      </c>
      <c r="M603" s="974">
        <v>1500</v>
      </c>
      <c r="N603" s="974">
        <v>300</v>
      </c>
      <c r="O603" s="974">
        <v>2.1</v>
      </c>
      <c r="P603" s="974">
        <v>0.7</v>
      </c>
      <c r="Q603" s="974">
        <v>0.51</v>
      </c>
      <c r="R603" s="974">
        <v>0.65</v>
      </c>
    </row>
    <row r="604" spans="1:18" x14ac:dyDescent="0.35">
      <c r="A604" s="974" t="s">
        <v>2261</v>
      </c>
      <c r="B604" s="974" t="s">
        <v>2275</v>
      </c>
      <c r="C604" s="974">
        <v>25</v>
      </c>
      <c r="D604" s="974">
        <v>-15</v>
      </c>
      <c r="E604" s="974">
        <v>-17</v>
      </c>
      <c r="F604" s="974">
        <v>26</v>
      </c>
      <c r="G604" s="974">
        <v>20</v>
      </c>
      <c r="H604" s="974">
        <v>4140</v>
      </c>
      <c r="I604" s="974">
        <v>16</v>
      </c>
      <c r="J604" s="974">
        <v>144</v>
      </c>
      <c r="K604" s="974">
        <v>1300</v>
      </c>
      <c r="L604" s="974">
        <v>1.5</v>
      </c>
      <c r="M604" s="974">
        <v>1450</v>
      </c>
      <c r="N604" s="974">
        <v>260</v>
      </c>
      <c r="O604" s="974">
        <v>1.9</v>
      </c>
      <c r="P604" s="974">
        <v>0.6</v>
      </c>
      <c r="Q604" s="974">
        <v>0.48</v>
      </c>
      <c r="R604" s="974">
        <v>0.61</v>
      </c>
    </row>
    <row r="605" spans="1:18" x14ac:dyDescent="0.35">
      <c r="A605" s="974" t="s">
        <v>2261</v>
      </c>
      <c r="B605" s="974" t="s">
        <v>2276</v>
      </c>
      <c r="C605" s="974">
        <v>30</v>
      </c>
      <c r="D605" s="974">
        <v>-19</v>
      </c>
      <c r="E605" s="974">
        <v>-21</v>
      </c>
      <c r="F605" s="974">
        <v>27</v>
      </c>
      <c r="G605" s="974">
        <v>21</v>
      </c>
      <c r="H605" s="974">
        <v>4320</v>
      </c>
      <c r="I605" s="974">
        <v>15</v>
      </c>
      <c r="J605" s="974">
        <v>135</v>
      </c>
      <c r="K605" s="974">
        <v>975</v>
      </c>
      <c r="L605" s="974">
        <v>1.1000000000000001</v>
      </c>
      <c r="M605" s="974">
        <v>1200</v>
      </c>
      <c r="N605" s="974">
        <v>260</v>
      </c>
      <c r="O605" s="974">
        <v>2.2000000000000002</v>
      </c>
      <c r="P605" s="974">
        <v>0.6</v>
      </c>
      <c r="Q605" s="974">
        <v>0.43</v>
      </c>
      <c r="R605" s="974">
        <v>0.55000000000000004</v>
      </c>
    </row>
    <row r="606" spans="1:18" x14ac:dyDescent="0.35">
      <c r="A606" s="974" t="s">
        <v>2261</v>
      </c>
      <c r="B606" s="974" t="s">
        <v>2277</v>
      </c>
      <c r="C606" s="974">
        <v>20</v>
      </c>
      <c r="D606" s="974">
        <v>-16</v>
      </c>
      <c r="E606" s="974">
        <v>-19</v>
      </c>
      <c r="F606" s="974">
        <v>27</v>
      </c>
      <c r="G606" s="974">
        <v>21</v>
      </c>
      <c r="H606" s="974">
        <v>4500</v>
      </c>
      <c r="I606" s="974">
        <v>15</v>
      </c>
      <c r="J606" s="974">
        <v>123</v>
      </c>
      <c r="K606" s="974">
        <v>1200</v>
      </c>
      <c r="L606" s="974">
        <v>1.4</v>
      </c>
      <c r="M606" s="974">
        <v>1475</v>
      </c>
      <c r="N606" s="974">
        <v>300</v>
      </c>
      <c r="O606" s="974">
        <v>2.4</v>
      </c>
      <c r="P606" s="974">
        <v>0.6</v>
      </c>
      <c r="Q606" s="974">
        <v>0.46</v>
      </c>
      <c r="R606" s="974">
        <v>0.59</v>
      </c>
    </row>
    <row r="607" spans="1:18" x14ac:dyDescent="0.35">
      <c r="A607" s="974" t="s">
        <v>2261</v>
      </c>
      <c r="B607" s="974" t="s">
        <v>2278</v>
      </c>
      <c r="C607" s="974">
        <v>25</v>
      </c>
      <c r="D607" s="974">
        <v>-19</v>
      </c>
      <c r="E607" s="974">
        <v>-21</v>
      </c>
      <c r="F607" s="974">
        <v>27</v>
      </c>
      <c r="G607" s="974">
        <v>21</v>
      </c>
      <c r="H607" s="974">
        <v>4310</v>
      </c>
      <c r="I607" s="974">
        <v>15</v>
      </c>
      <c r="J607" s="974">
        <v>107</v>
      </c>
      <c r="K607" s="974">
        <v>950</v>
      </c>
      <c r="L607" s="974">
        <v>1.1000000000000001</v>
      </c>
      <c r="M607" s="974">
        <v>1175</v>
      </c>
      <c r="N607" s="974">
        <v>260</v>
      </c>
      <c r="O607" s="974">
        <v>2.2000000000000002</v>
      </c>
      <c r="P607" s="974">
        <v>0.6</v>
      </c>
      <c r="Q607" s="974">
        <v>0.43</v>
      </c>
      <c r="R607" s="974">
        <v>0.55000000000000004</v>
      </c>
    </row>
    <row r="608" spans="1:18" x14ac:dyDescent="0.35">
      <c r="A608" s="974" t="s">
        <v>2261</v>
      </c>
      <c r="B608" s="974" t="s">
        <v>2279</v>
      </c>
      <c r="C608" s="974">
        <v>40</v>
      </c>
      <c r="D608" s="974">
        <v>-17</v>
      </c>
      <c r="E608" s="974">
        <v>-19</v>
      </c>
      <c r="F608" s="974">
        <v>27</v>
      </c>
      <c r="G608" s="974">
        <v>21</v>
      </c>
      <c r="H608" s="974">
        <v>4500</v>
      </c>
      <c r="I608" s="974">
        <v>15</v>
      </c>
      <c r="J608" s="974">
        <v>128</v>
      </c>
      <c r="K608" s="974">
        <v>1325</v>
      </c>
      <c r="L608" s="974">
        <v>1.5</v>
      </c>
      <c r="M608" s="974">
        <v>1450</v>
      </c>
      <c r="N608" s="974">
        <v>260</v>
      </c>
      <c r="O608" s="974">
        <v>2.1</v>
      </c>
      <c r="P608" s="974">
        <v>0.6</v>
      </c>
      <c r="Q608" s="974">
        <v>0.48</v>
      </c>
      <c r="R608" s="974">
        <v>0.61</v>
      </c>
    </row>
    <row r="609" spans="1:18" x14ac:dyDescent="0.35">
      <c r="A609" s="974" t="s">
        <v>2261</v>
      </c>
      <c r="B609" s="974" t="s">
        <v>2280</v>
      </c>
      <c r="C609" s="974">
        <v>185</v>
      </c>
      <c r="D609" s="974">
        <v>-20</v>
      </c>
      <c r="E609" s="974">
        <v>-23</v>
      </c>
      <c r="F609" s="974">
        <v>27</v>
      </c>
      <c r="G609" s="974">
        <v>21</v>
      </c>
      <c r="H609" s="974">
        <v>4540</v>
      </c>
      <c r="I609" s="974">
        <v>18</v>
      </c>
      <c r="J609" s="974">
        <v>118</v>
      </c>
      <c r="K609" s="974">
        <v>1075</v>
      </c>
      <c r="L609" s="974">
        <v>1.2</v>
      </c>
      <c r="M609" s="974">
        <v>1175</v>
      </c>
      <c r="N609" s="974">
        <v>220</v>
      </c>
      <c r="O609" s="974">
        <v>3.1</v>
      </c>
      <c r="P609" s="974">
        <v>0.6</v>
      </c>
      <c r="Q609" s="974">
        <v>0.37</v>
      </c>
      <c r="R609" s="974">
        <v>0.48</v>
      </c>
    </row>
    <row r="610" spans="1:18" x14ac:dyDescent="0.35">
      <c r="A610" s="974" t="s">
        <v>2261</v>
      </c>
      <c r="B610" s="974" t="s">
        <v>2281</v>
      </c>
      <c r="C610" s="974">
        <v>25</v>
      </c>
      <c r="D610" s="974">
        <v>-20</v>
      </c>
      <c r="E610" s="974">
        <v>-22</v>
      </c>
      <c r="F610" s="974">
        <v>27</v>
      </c>
      <c r="G610" s="974">
        <v>21</v>
      </c>
      <c r="H610" s="974">
        <v>4400</v>
      </c>
      <c r="I610" s="974">
        <v>18</v>
      </c>
      <c r="J610" s="974">
        <v>128</v>
      </c>
      <c r="K610" s="974">
        <v>1050</v>
      </c>
      <c r="L610" s="974">
        <v>1.2</v>
      </c>
      <c r="M610" s="974">
        <v>1250</v>
      </c>
      <c r="N610" s="974">
        <v>240</v>
      </c>
      <c r="O610" s="974">
        <v>1.8</v>
      </c>
      <c r="P610" s="974">
        <v>0.6</v>
      </c>
      <c r="Q610" s="974">
        <v>0.39</v>
      </c>
      <c r="R610" s="974">
        <v>0.5</v>
      </c>
    </row>
    <row r="611" spans="1:18" x14ac:dyDescent="0.35">
      <c r="A611" s="974" t="s">
        <v>2261</v>
      </c>
      <c r="B611" s="974" t="s">
        <v>2282</v>
      </c>
      <c r="C611" s="974">
        <v>5</v>
      </c>
      <c r="D611" s="974">
        <v>-16</v>
      </c>
      <c r="E611" s="974">
        <v>-19</v>
      </c>
      <c r="F611" s="974">
        <v>27</v>
      </c>
      <c r="G611" s="974">
        <v>21</v>
      </c>
      <c r="H611" s="974">
        <v>4530</v>
      </c>
      <c r="I611" s="974">
        <v>15</v>
      </c>
      <c r="J611" s="974">
        <v>123</v>
      </c>
      <c r="K611" s="974">
        <v>1200</v>
      </c>
      <c r="L611" s="974">
        <v>1.4</v>
      </c>
      <c r="M611" s="974">
        <v>1475</v>
      </c>
      <c r="N611" s="974">
        <v>300</v>
      </c>
      <c r="O611" s="974">
        <v>2.2999999999999998</v>
      </c>
      <c r="P611" s="974">
        <v>0.6</v>
      </c>
      <c r="Q611" s="974">
        <v>0.46</v>
      </c>
      <c r="R611" s="974">
        <v>0.59</v>
      </c>
    </row>
    <row r="612" spans="1:18" x14ac:dyDescent="0.35">
      <c r="A612" s="974" t="s">
        <v>2261</v>
      </c>
      <c r="B612" s="974" t="s">
        <v>2283</v>
      </c>
      <c r="C612" s="974">
        <v>25</v>
      </c>
      <c r="D612" s="974">
        <v>-20</v>
      </c>
      <c r="E612" s="974">
        <v>-23</v>
      </c>
      <c r="F612" s="974">
        <v>27</v>
      </c>
      <c r="G612" s="974">
        <v>21</v>
      </c>
      <c r="H612" s="974">
        <v>4380</v>
      </c>
      <c r="I612" s="974">
        <v>18</v>
      </c>
      <c r="J612" s="974">
        <v>118</v>
      </c>
      <c r="K612" s="974">
        <v>875</v>
      </c>
      <c r="L612" s="974">
        <v>1.1000000000000001</v>
      </c>
      <c r="M612" s="974">
        <v>1150</v>
      </c>
      <c r="N612" s="974">
        <v>260</v>
      </c>
      <c r="O612" s="974">
        <v>2.2000000000000002</v>
      </c>
      <c r="P612" s="974">
        <v>0.6</v>
      </c>
      <c r="Q612" s="974">
        <v>0.43</v>
      </c>
      <c r="R612" s="974">
        <v>0.55000000000000004</v>
      </c>
    </row>
    <row r="613" spans="1:18" x14ac:dyDescent="0.35">
      <c r="A613" s="974" t="s">
        <v>2261</v>
      </c>
      <c r="B613" s="974" t="s">
        <v>2284</v>
      </c>
      <c r="C613" s="974">
        <v>25</v>
      </c>
      <c r="D613" s="974">
        <v>-20</v>
      </c>
      <c r="E613" s="974">
        <v>-22</v>
      </c>
      <c r="F613" s="974">
        <v>27</v>
      </c>
      <c r="G613" s="974">
        <v>21</v>
      </c>
      <c r="H613" s="974">
        <v>4500</v>
      </c>
      <c r="I613" s="974">
        <v>18</v>
      </c>
      <c r="J613" s="974">
        <v>118</v>
      </c>
      <c r="K613" s="974">
        <v>1000</v>
      </c>
      <c r="L613" s="974">
        <v>1.2</v>
      </c>
      <c r="M613" s="974">
        <v>1175</v>
      </c>
      <c r="N613" s="974">
        <v>240</v>
      </c>
      <c r="O613" s="974">
        <v>2</v>
      </c>
      <c r="P613" s="974">
        <v>0.6</v>
      </c>
      <c r="Q613" s="974">
        <v>0.37</v>
      </c>
      <c r="R613" s="974">
        <v>0.48</v>
      </c>
    </row>
    <row r="614" spans="1:18" x14ac:dyDescent="0.35">
      <c r="A614" s="974" t="s">
        <v>2261</v>
      </c>
      <c r="B614" s="974" t="s">
        <v>2285</v>
      </c>
      <c r="C614" s="974">
        <v>35</v>
      </c>
      <c r="D614" s="974">
        <v>-19</v>
      </c>
      <c r="E614" s="974">
        <v>-21</v>
      </c>
      <c r="F614" s="974">
        <v>28</v>
      </c>
      <c r="G614" s="974">
        <v>21</v>
      </c>
      <c r="H614" s="974">
        <v>4140</v>
      </c>
      <c r="I614" s="974">
        <v>17</v>
      </c>
      <c r="J614" s="974">
        <v>118</v>
      </c>
      <c r="K614" s="974">
        <v>975</v>
      </c>
      <c r="L614" s="974">
        <v>1.1000000000000001</v>
      </c>
      <c r="M614" s="974">
        <v>1175</v>
      </c>
      <c r="N614" s="974">
        <v>260</v>
      </c>
      <c r="O614" s="974">
        <v>2.6</v>
      </c>
      <c r="P614" s="974">
        <v>0.6</v>
      </c>
      <c r="Q614" s="974">
        <v>0.42</v>
      </c>
      <c r="R614" s="974">
        <v>0.54</v>
      </c>
    </row>
    <row r="615" spans="1:18" x14ac:dyDescent="0.35">
      <c r="A615" s="974" t="s">
        <v>2261</v>
      </c>
      <c r="B615" s="974" t="s">
        <v>2286</v>
      </c>
      <c r="C615" s="974">
        <v>10</v>
      </c>
      <c r="D615" s="974">
        <v>-14</v>
      </c>
      <c r="E615" s="974">
        <v>-16</v>
      </c>
      <c r="F615" s="974">
        <v>22</v>
      </c>
      <c r="G615" s="974">
        <v>19</v>
      </c>
      <c r="H615" s="974">
        <v>3990</v>
      </c>
      <c r="I615" s="974">
        <v>19</v>
      </c>
      <c r="J615" s="974">
        <v>135</v>
      </c>
      <c r="K615" s="974">
        <v>1125</v>
      </c>
      <c r="L615" s="974">
        <v>1.3</v>
      </c>
      <c r="M615" s="974">
        <v>1260</v>
      </c>
      <c r="N615" s="974">
        <v>280</v>
      </c>
      <c r="O615" s="974">
        <v>1.8</v>
      </c>
      <c r="P615" s="974">
        <v>0.6</v>
      </c>
      <c r="Q615" s="974">
        <v>0.44</v>
      </c>
      <c r="R615" s="974">
        <v>0.56000000000000005</v>
      </c>
    </row>
    <row r="616" spans="1:18" x14ac:dyDescent="0.35">
      <c r="A616" s="974" t="s">
        <v>2287</v>
      </c>
      <c r="B616" s="974" t="s">
        <v>2288</v>
      </c>
      <c r="C616" s="974">
        <v>5</v>
      </c>
      <c r="D616" s="974">
        <v>-20</v>
      </c>
      <c r="E616" s="974">
        <v>-22</v>
      </c>
      <c r="F616" s="974">
        <v>26</v>
      </c>
      <c r="G616" s="974">
        <v>21</v>
      </c>
      <c r="H616" s="974">
        <v>4460</v>
      </c>
      <c r="I616" s="974">
        <v>16</v>
      </c>
      <c r="J616" s="974">
        <v>107</v>
      </c>
      <c r="K616" s="974">
        <v>900</v>
      </c>
      <c r="L616" s="974">
        <v>1.1000000000000001</v>
      </c>
      <c r="M616" s="974">
        <v>1150</v>
      </c>
      <c r="N616" s="974">
        <v>350</v>
      </c>
      <c r="O616" s="974">
        <v>2.7</v>
      </c>
      <c r="P616" s="974">
        <v>0.6</v>
      </c>
      <c r="Q616" s="974">
        <v>0.44</v>
      </c>
      <c r="R616" s="974">
        <v>0.56000000000000005</v>
      </c>
    </row>
    <row r="617" spans="1:18" x14ac:dyDescent="0.35">
      <c r="A617" s="974" t="s">
        <v>2287</v>
      </c>
      <c r="B617" s="974" t="s">
        <v>2289</v>
      </c>
      <c r="C617" s="974">
        <v>5</v>
      </c>
      <c r="D617" s="974">
        <v>-19</v>
      </c>
      <c r="E617" s="974">
        <v>-21</v>
      </c>
      <c r="F617" s="974">
        <v>27</v>
      </c>
      <c r="G617" s="974">
        <v>21</v>
      </c>
      <c r="H617" s="974">
        <v>4550</v>
      </c>
      <c r="I617" s="974">
        <v>15</v>
      </c>
      <c r="J617" s="974">
        <v>112</v>
      </c>
      <c r="K617" s="974">
        <v>950</v>
      </c>
      <c r="L617" s="974">
        <v>1.1000000000000001</v>
      </c>
      <c r="M617" s="974">
        <v>1130</v>
      </c>
      <c r="N617" s="974">
        <v>350</v>
      </c>
      <c r="O617" s="974">
        <v>2.7</v>
      </c>
      <c r="P617" s="974">
        <v>0.6</v>
      </c>
      <c r="Q617" s="974">
        <v>0.45</v>
      </c>
      <c r="R617" s="974">
        <v>0.57999999999999996</v>
      </c>
    </row>
    <row r="618" spans="1:18" x14ac:dyDescent="0.35">
      <c r="A618" s="974" t="s">
        <v>2287</v>
      </c>
      <c r="B618" s="974" t="s">
        <v>2290</v>
      </c>
      <c r="C618" s="974">
        <v>10</v>
      </c>
      <c r="D618" s="974">
        <v>-20</v>
      </c>
      <c r="E618" s="974">
        <v>-22</v>
      </c>
      <c r="F618" s="974">
        <v>27</v>
      </c>
      <c r="G618" s="974">
        <v>21</v>
      </c>
      <c r="H618" s="974">
        <v>4600</v>
      </c>
      <c r="I618" s="974">
        <v>16</v>
      </c>
      <c r="J618" s="974">
        <v>112</v>
      </c>
      <c r="K618" s="974">
        <v>825</v>
      </c>
      <c r="L618" s="974">
        <v>1</v>
      </c>
      <c r="M618" s="974">
        <v>1060</v>
      </c>
      <c r="N618" s="974">
        <v>350</v>
      </c>
      <c r="O618" s="974">
        <v>3.1</v>
      </c>
      <c r="P618" s="974">
        <v>0.6</v>
      </c>
      <c r="Q618" s="974">
        <v>0.47</v>
      </c>
      <c r="R618" s="974">
        <v>0.6</v>
      </c>
    </row>
    <row r="619" spans="1:18" x14ac:dyDescent="0.35">
      <c r="A619" s="974" t="s">
        <v>2287</v>
      </c>
      <c r="B619" s="974" t="s">
        <v>2291</v>
      </c>
      <c r="C619" s="974">
        <v>10</v>
      </c>
      <c r="D619" s="974">
        <v>-20</v>
      </c>
      <c r="E619" s="974">
        <v>-22</v>
      </c>
      <c r="F619" s="974">
        <v>27</v>
      </c>
      <c r="G619" s="974">
        <v>21</v>
      </c>
      <c r="H619" s="974">
        <v>4770</v>
      </c>
      <c r="I619" s="974">
        <v>16</v>
      </c>
      <c r="J619" s="974">
        <v>96</v>
      </c>
      <c r="K619" s="974">
        <v>800</v>
      </c>
      <c r="L619" s="974">
        <v>1</v>
      </c>
      <c r="M619" s="974">
        <v>1100</v>
      </c>
      <c r="N619" s="974">
        <v>350</v>
      </c>
      <c r="O619" s="974">
        <v>3.2</v>
      </c>
      <c r="P619" s="974">
        <v>0.6</v>
      </c>
      <c r="Q619" s="974">
        <v>0.51</v>
      </c>
      <c r="R619" s="974">
        <v>0.66</v>
      </c>
    </row>
    <row r="620" spans="1:18" x14ac:dyDescent="0.35">
      <c r="A620" s="974" t="s">
        <v>2287</v>
      </c>
      <c r="B620" s="974" t="s">
        <v>2292</v>
      </c>
      <c r="C620" s="974">
        <v>15</v>
      </c>
      <c r="D620" s="974">
        <v>-12</v>
      </c>
      <c r="E620" s="974">
        <v>-14</v>
      </c>
      <c r="F620" s="974">
        <v>21</v>
      </c>
      <c r="G620" s="974">
        <v>18</v>
      </c>
      <c r="H620" s="974">
        <v>4600</v>
      </c>
      <c r="I620" s="974">
        <v>15</v>
      </c>
      <c r="J620" s="974">
        <v>107</v>
      </c>
      <c r="K620" s="974">
        <v>1250</v>
      </c>
      <c r="L620" s="974">
        <v>1.5</v>
      </c>
      <c r="M620" s="974">
        <v>1400</v>
      </c>
      <c r="N620" s="974">
        <v>400</v>
      </c>
      <c r="O620" s="974">
        <v>2.4</v>
      </c>
      <c r="P620" s="974">
        <v>0.7</v>
      </c>
      <c r="Q620" s="974">
        <v>0.59</v>
      </c>
      <c r="R620" s="974">
        <v>0.75</v>
      </c>
    </row>
    <row r="621" spans="1:18" x14ac:dyDescent="0.35">
      <c r="A621" s="974" t="s">
        <v>2287</v>
      </c>
      <c r="B621" s="974" t="s">
        <v>2293</v>
      </c>
      <c r="C621" s="974">
        <v>15</v>
      </c>
      <c r="D621" s="974">
        <v>-14</v>
      </c>
      <c r="E621" s="974">
        <v>-16</v>
      </c>
      <c r="F621" s="974">
        <v>24</v>
      </c>
      <c r="G621" s="974">
        <v>19</v>
      </c>
      <c r="H621" s="974">
        <v>5000</v>
      </c>
      <c r="I621" s="974">
        <v>18</v>
      </c>
      <c r="J621" s="974">
        <v>96</v>
      </c>
      <c r="K621" s="974">
        <v>825</v>
      </c>
      <c r="L621" s="974">
        <v>1.1000000000000001</v>
      </c>
      <c r="M621" s="974">
        <v>1010</v>
      </c>
      <c r="N621" s="974">
        <v>400</v>
      </c>
      <c r="O621" s="974">
        <v>3.1</v>
      </c>
      <c r="P621" s="974">
        <v>0.6</v>
      </c>
      <c r="Q621" s="974">
        <v>0.66</v>
      </c>
      <c r="R621" s="974">
        <v>0.84</v>
      </c>
    </row>
    <row r="622" spans="1:18" x14ac:dyDescent="0.35">
      <c r="A622" s="974" t="s">
        <v>2287</v>
      </c>
      <c r="B622" s="974" t="s">
        <v>2294</v>
      </c>
      <c r="C622" s="974">
        <v>255</v>
      </c>
      <c r="D622" s="974">
        <v>-24</v>
      </c>
      <c r="E622" s="974">
        <v>-27</v>
      </c>
      <c r="F622" s="974">
        <v>27</v>
      </c>
      <c r="G622" s="974">
        <v>20</v>
      </c>
      <c r="H622" s="974">
        <v>5250</v>
      </c>
      <c r="I622" s="974">
        <v>13</v>
      </c>
      <c r="J622" s="974">
        <v>107</v>
      </c>
      <c r="K622" s="974">
        <v>850</v>
      </c>
      <c r="L622" s="974">
        <v>1</v>
      </c>
      <c r="M622" s="974">
        <v>1125</v>
      </c>
      <c r="N622" s="974">
        <v>200</v>
      </c>
      <c r="O622" s="974">
        <v>4.7</v>
      </c>
      <c r="P622" s="974">
        <v>0.6</v>
      </c>
      <c r="Q622" s="974">
        <v>0.47</v>
      </c>
      <c r="R622" s="974">
        <v>0.6</v>
      </c>
    </row>
    <row r="623" spans="1:18" x14ac:dyDescent="0.35">
      <c r="A623" s="974" t="s">
        <v>2287</v>
      </c>
      <c r="B623" s="974" t="s">
        <v>2295</v>
      </c>
      <c r="C623" s="974">
        <v>5</v>
      </c>
      <c r="D623" s="974">
        <v>-29</v>
      </c>
      <c r="E623" s="974">
        <v>-31</v>
      </c>
      <c r="F623" s="974">
        <v>26</v>
      </c>
      <c r="G623" s="974">
        <v>16</v>
      </c>
      <c r="H623" s="974">
        <v>6900</v>
      </c>
      <c r="I623" s="974">
        <v>10</v>
      </c>
      <c r="J623" s="974">
        <v>106</v>
      </c>
      <c r="K623" s="974">
        <v>475</v>
      </c>
      <c r="L623" s="974">
        <v>0.9</v>
      </c>
      <c r="M623" s="974">
        <v>950</v>
      </c>
      <c r="N623" s="974">
        <v>350</v>
      </c>
      <c r="O623" s="974">
        <v>6.3</v>
      </c>
      <c r="P623" s="974">
        <v>0.4</v>
      </c>
      <c r="Q623" s="974">
        <v>0.47</v>
      </c>
      <c r="R623" s="974">
        <v>0.6</v>
      </c>
    </row>
    <row r="624" spans="1:18" x14ac:dyDescent="0.35">
      <c r="A624" s="974" t="s">
        <v>2287</v>
      </c>
      <c r="B624" s="974" t="s">
        <v>2296</v>
      </c>
      <c r="C624" s="974">
        <v>5</v>
      </c>
      <c r="D624" s="974">
        <v>-11</v>
      </c>
      <c r="E624" s="974">
        <v>-13</v>
      </c>
      <c r="F624" s="974">
        <v>19</v>
      </c>
      <c r="G624" s="974">
        <v>18</v>
      </c>
      <c r="H624" s="974">
        <v>4900</v>
      </c>
      <c r="I624" s="974">
        <v>18</v>
      </c>
      <c r="J624" s="974">
        <v>130</v>
      </c>
      <c r="K624" s="974">
        <v>1425</v>
      </c>
      <c r="L624" s="974">
        <v>1.7</v>
      </c>
      <c r="M624" s="974">
        <v>1550</v>
      </c>
      <c r="N624" s="974">
        <v>400</v>
      </c>
      <c r="O624" s="974">
        <v>2.2999999999999998</v>
      </c>
      <c r="P624" s="974">
        <v>0.7</v>
      </c>
      <c r="Q624" s="974">
        <v>0.82</v>
      </c>
      <c r="R624" s="974">
        <v>1.05</v>
      </c>
    </row>
    <row r="625" spans="1:18" x14ac:dyDescent="0.35">
      <c r="A625" s="974" t="s">
        <v>2287</v>
      </c>
      <c r="B625" s="974" t="s">
        <v>2297</v>
      </c>
      <c r="C625" s="974">
        <v>5</v>
      </c>
      <c r="D625" s="974">
        <v>-13</v>
      </c>
      <c r="E625" s="974">
        <v>-15</v>
      </c>
      <c r="F625" s="974">
        <v>19</v>
      </c>
      <c r="G625" s="974">
        <v>18</v>
      </c>
      <c r="H625" s="974">
        <v>5000</v>
      </c>
      <c r="I625" s="974">
        <v>13</v>
      </c>
      <c r="J625" s="974">
        <v>123</v>
      </c>
      <c r="K625" s="974">
        <v>1175</v>
      </c>
      <c r="L625" s="974">
        <v>1.4</v>
      </c>
      <c r="M625" s="974">
        <v>1520</v>
      </c>
      <c r="N625" s="974">
        <v>450</v>
      </c>
      <c r="O625" s="974">
        <v>3.6</v>
      </c>
      <c r="P625" s="974">
        <v>0.7</v>
      </c>
      <c r="Q625" s="974">
        <v>0.61</v>
      </c>
      <c r="R625" s="974">
        <v>0.78</v>
      </c>
    </row>
    <row r="626" spans="1:18" x14ac:dyDescent="0.35">
      <c r="A626" s="974" t="s">
        <v>2287</v>
      </c>
      <c r="B626" s="974" t="s">
        <v>2298</v>
      </c>
      <c r="C626" s="974">
        <v>35</v>
      </c>
      <c r="D626" s="974">
        <v>-16</v>
      </c>
      <c r="E626" s="974">
        <v>-18</v>
      </c>
      <c r="F626" s="974">
        <v>26</v>
      </c>
      <c r="G626" s="974">
        <v>20</v>
      </c>
      <c r="H626" s="974">
        <v>4760</v>
      </c>
      <c r="I626" s="974">
        <v>13</v>
      </c>
      <c r="J626" s="974">
        <v>91</v>
      </c>
      <c r="K626" s="974">
        <v>875</v>
      </c>
      <c r="L626" s="974">
        <v>1.1000000000000001</v>
      </c>
      <c r="M626" s="974">
        <v>1190</v>
      </c>
      <c r="N626" s="974">
        <v>300</v>
      </c>
      <c r="O626" s="974">
        <v>3.7</v>
      </c>
      <c r="P626" s="974">
        <v>0.6</v>
      </c>
      <c r="Q626" s="974">
        <v>0.43</v>
      </c>
      <c r="R626" s="974">
        <v>0.55000000000000004</v>
      </c>
    </row>
    <row r="627" spans="1:18" x14ac:dyDescent="0.35">
      <c r="A627" s="974" t="s">
        <v>2287</v>
      </c>
      <c r="B627" s="974" t="s">
        <v>2299</v>
      </c>
      <c r="C627" s="974">
        <v>125</v>
      </c>
      <c r="D627" s="974">
        <v>-18</v>
      </c>
      <c r="E627" s="974">
        <v>-20</v>
      </c>
      <c r="F627" s="974">
        <v>27</v>
      </c>
      <c r="G627" s="974">
        <v>20</v>
      </c>
      <c r="H627" s="974">
        <v>5110</v>
      </c>
      <c r="I627" s="974">
        <v>18</v>
      </c>
      <c r="J627" s="974">
        <v>91</v>
      </c>
      <c r="K627" s="974">
        <v>775</v>
      </c>
      <c r="L627" s="974">
        <v>1</v>
      </c>
      <c r="M627" s="974">
        <v>1180</v>
      </c>
      <c r="N627" s="974">
        <v>280</v>
      </c>
      <c r="O627" s="974">
        <v>3.7</v>
      </c>
      <c r="P627" s="974">
        <v>0.6</v>
      </c>
      <c r="Q627" s="974">
        <v>0.47</v>
      </c>
      <c r="R627" s="974">
        <v>0.6</v>
      </c>
    </row>
    <row r="628" spans="1:18" x14ac:dyDescent="0.35">
      <c r="A628" s="974" t="s">
        <v>2287</v>
      </c>
      <c r="B628" s="974" t="s">
        <v>2300</v>
      </c>
      <c r="C628" s="974">
        <v>5</v>
      </c>
      <c r="D628" s="974">
        <v>-14</v>
      </c>
      <c r="E628" s="974">
        <v>-15</v>
      </c>
      <c r="F628" s="974">
        <v>20</v>
      </c>
      <c r="G628" s="974">
        <v>18</v>
      </c>
      <c r="H628" s="974">
        <v>4550</v>
      </c>
      <c r="I628" s="974">
        <v>15</v>
      </c>
      <c r="J628" s="974">
        <v>123</v>
      </c>
      <c r="K628" s="974">
        <v>1350</v>
      </c>
      <c r="L628" s="974">
        <v>1.6</v>
      </c>
      <c r="M628" s="974">
        <v>1525</v>
      </c>
      <c r="N628" s="974">
        <v>400</v>
      </c>
      <c r="O628" s="974">
        <v>2.4</v>
      </c>
      <c r="P628" s="974">
        <v>0.7</v>
      </c>
      <c r="Q628" s="974">
        <v>0.57999999999999996</v>
      </c>
      <c r="R628" s="974">
        <v>0.74</v>
      </c>
    </row>
    <row r="629" spans="1:18" x14ac:dyDescent="0.35">
      <c r="A629" s="974" t="s">
        <v>2287</v>
      </c>
      <c r="B629" s="974" t="s">
        <v>2251</v>
      </c>
      <c r="C629" s="974">
        <v>60</v>
      </c>
      <c r="D629" s="974">
        <v>-26</v>
      </c>
      <c r="E629" s="974">
        <v>-29</v>
      </c>
      <c r="F629" s="974">
        <v>27</v>
      </c>
      <c r="G629" s="974">
        <v>20</v>
      </c>
      <c r="H629" s="974">
        <v>5020</v>
      </c>
      <c r="I629" s="974">
        <v>15</v>
      </c>
      <c r="J629" s="974">
        <v>86</v>
      </c>
      <c r="K629" s="974">
        <v>775</v>
      </c>
      <c r="L629" s="974">
        <v>1</v>
      </c>
      <c r="M629" s="974">
        <v>1030</v>
      </c>
      <c r="N629" s="974">
        <v>240</v>
      </c>
      <c r="O629" s="974">
        <v>3.4</v>
      </c>
      <c r="P629" s="974">
        <v>0.6</v>
      </c>
      <c r="Q629" s="974">
        <v>0.47</v>
      </c>
      <c r="R629" s="974">
        <v>0.6</v>
      </c>
    </row>
    <row r="630" spans="1:18" x14ac:dyDescent="0.35">
      <c r="A630" s="974" t="s">
        <v>2287</v>
      </c>
      <c r="B630" s="974" t="s">
        <v>2301</v>
      </c>
      <c r="C630" s="974">
        <v>15</v>
      </c>
      <c r="D630" s="974">
        <v>-31</v>
      </c>
      <c r="E630" s="974">
        <v>-32</v>
      </c>
      <c r="F630" s="974">
        <v>27</v>
      </c>
      <c r="G630" s="974">
        <v>19</v>
      </c>
      <c r="H630" s="974">
        <v>6670</v>
      </c>
      <c r="I630" s="974">
        <v>18</v>
      </c>
      <c r="J630" s="974">
        <v>80</v>
      </c>
      <c r="K630" s="974">
        <v>575</v>
      </c>
      <c r="L630" s="974">
        <v>0.8</v>
      </c>
      <c r="M630" s="974">
        <v>960</v>
      </c>
      <c r="N630" s="974">
        <v>160</v>
      </c>
      <c r="O630" s="974">
        <v>5.3</v>
      </c>
      <c r="P630" s="974">
        <v>0.4</v>
      </c>
      <c r="Q630" s="974">
        <v>0.33</v>
      </c>
      <c r="R630" s="974">
        <v>0.42</v>
      </c>
    </row>
    <row r="631" spans="1:18" x14ac:dyDescent="0.35">
      <c r="A631" s="974" t="s">
        <v>2287</v>
      </c>
      <c r="B631" s="974" t="s">
        <v>2302</v>
      </c>
      <c r="C631" s="974">
        <v>550</v>
      </c>
      <c r="D631" s="974">
        <v>-36</v>
      </c>
      <c r="E631" s="974">
        <v>-38</v>
      </c>
      <c r="F631" s="974">
        <v>24</v>
      </c>
      <c r="G631" s="974">
        <v>17</v>
      </c>
      <c r="H631" s="974">
        <v>7710</v>
      </c>
      <c r="I631" s="974">
        <v>15</v>
      </c>
      <c r="J631" s="974">
        <v>70</v>
      </c>
      <c r="K631" s="974">
        <v>500</v>
      </c>
      <c r="L631" s="974">
        <v>0.8</v>
      </c>
      <c r="M631" s="974">
        <v>880</v>
      </c>
      <c r="N631" s="974">
        <v>140</v>
      </c>
      <c r="O631" s="974">
        <v>4.8</v>
      </c>
      <c r="P631" s="974">
        <v>0.3</v>
      </c>
      <c r="Q631" s="974">
        <v>0.31</v>
      </c>
      <c r="R631" s="974">
        <v>0.4</v>
      </c>
    </row>
    <row r="632" spans="1:18" x14ac:dyDescent="0.35">
      <c r="A632" s="974" t="s">
        <v>2287</v>
      </c>
      <c r="B632" s="974" t="s">
        <v>2303</v>
      </c>
      <c r="C632" s="974">
        <v>10</v>
      </c>
      <c r="D632" s="974">
        <v>-25</v>
      </c>
      <c r="E632" s="974">
        <v>-27</v>
      </c>
      <c r="F632" s="974">
        <v>22</v>
      </c>
      <c r="G632" s="974">
        <v>18</v>
      </c>
      <c r="H632" s="974">
        <v>6440</v>
      </c>
      <c r="I632" s="974">
        <v>13</v>
      </c>
      <c r="J632" s="974">
        <v>86</v>
      </c>
      <c r="K632" s="974">
        <v>800</v>
      </c>
      <c r="L632" s="974">
        <v>1.1000000000000001</v>
      </c>
      <c r="M632" s="974">
        <v>1280</v>
      </c>
      <c r="N632" s="974">
        <v>450</v>
      </c>
      <c r="O632" s="974">
        <v>6.1</v>
      </c>
      <c r="P632" s="974">
        <v>0.6</v>
      </c>
      <c r="Q632" s="974">
        <v>0.68</v>
      </c>
      <c r="R632" s="974">
        <v>0.87</v>
      </c>
    </row>
    <row r="633" spans="1:18" x14ac:dyDescent="0.35">
      <c r="A633" s="974" t="s">
        <v>2287</v>
      </c>
      <c r="B633" s="974" t="s">
        <v>2304</v>
      </c>
      <c r="C633" s="974">
        <v>25</v>
      </c>
      <c r="D633" s="974">
        <v>-16</v>
      </c>
      <c r="E633" s="974">
        <v>-18</v>
      </c>
      <c r="F633" s="974">
        <v>24</v>
      </c>
      <c r="G633" s="974">
        <v>19</v>
      </c>
      <c r="H633" s="974">
        <v>4850</v>
      </c>
      <c r="I633" s="974">
        <v>14</v>
      </c>
      <c r="J633" s="974">
        <v>102</v>
      </c>
      <c r="K633" s="974">
        <v>1000</v>
      </c>
      <c r="L633" s="974">
        <v>1.2</v>
      </c>
      <c r="M633" s="974">
        <v>1275</v>
      </c>
      <c r="N633" s="974">
        <v>350</v>
      </c>
      <c r="O633" s="974">
        <v>4.0999999999999996</v>
      </c>
      <c r="P633" s="974">
        <v>0.6</v>
      </c>
      <c r="Q633" s="974">
        <v>0.45</v>
      </c>
      <c r="R633" s="974">
        <v>0.57999999999999996</v>
      </c>
    </row>
    <row r="634" spans="1:18" x14ac:dyDescent="0.35">
      <c r="A634" s="974" t="s">
        <v>2287</v>
      </c>
      <c r="B634" s="974" t="s">
        <v>2305</v>
      </c>
      <c r="C634" s="974">
        <v>65</v>
      </c>
      <c r="D634" s="974">
        <v>-15</v>
      </c>
      <c r="E634" s="974">
        <v>-16</v>
      </c>
      <c r="F634" s="974">
        <v>24</v>
      </c>
      <c r="G634" s="974">
        <v>20</v>
      </c>
      <c r="H634" s="974">
        <v>4800</v>
      </c>
      <c r="I634" s="974">
        <v>18</v>
      </c>
      <c r="J634" s="974">
        <v>118</v>
      </c>
      <c r="K634" s="974">
        <v>1200</v>
      </c>
      <c r="L634" s="974">
        <v>1.4</v>
      </c>
      <c r="M634" s="974">
        <v>1575</v>
      </c>
      <c r="N634" s="974">
        <v>400</v>
      </c>
      <c r="O634" s="974">
        <v>2.9</v>
      </c>
      <c r="P634" s="974">
        <v>0.7</v>
      </c>
      <c r="Q634" s="974">
        <v>0.61</v>
      </c>
      <c r="R634" s="974">
        <v>0.78</v>
      </c>
    </row>
    <row r="635" spans="1:18" x14ac:dyDescent="0.35">
      <c r="A635" s="974" t="s">
        <v>2287</v>
      </c>
      <c r="B635" s="974" t="s">
        <v>2306</v>
      </c>
      <c r="C635" s="974">
        <v>425</v>
      </c>
      <c r="D635" s="974">
        <v>-35</v>
      </c>
      <c r="E635" s="974">
        <v>-37</v>
      </c>
      <c r="F635" s="974">
        <v>24</v>
      </c>
      <c r="G635" s="974">
        <v>17</v>
      </c>
      <c r="H635" s="974">
        <v>7790</v>
      </c>
      <c r="I635" s="974">
        <v>15</v>
      </c>
      <c r="J635" s="974">
        <v>70</v>
      </c>
      <c r="K635" s="974">
        <v>500</v>
      </c>
      <c r="L635" s="974">
        <v>0.9</v>
      </c>
      <c r="M635" s="974">
        <v>950</v>
      </c>
      <c r="N635" s="974">
        <v>120</v>
      </c>
      <c r="O635" s="974">
        <v>4.8</v>
      </c>
      <c r="P635" s="974">
        <v>0.4</v>
      </c>
      <c r="Q635" s="974">
        <v>0.31</v>
      </c>
      <c r="R635" s="974">
        <v>0.4</v>
      </c>
    </row>
    <row r="636" spans="1:18" x14ac:dyDescent="0.35">
      <c r="A636" s="974" t="s">
        <v>2287</v>
      </c>
      <c r="B636" s="974" t="s">
        <v>2307</v>
      </c>
      <c r="C636" s="974">
        <v>75</v>
      </c>
      <c r="D636" s="974">
        <v>-15</v>
      </c>
      <c r="E636" s="974">
        <v>-17</v>
      </c>
      <c r="F636" s="974">
        <v>24</v>
      </c>
      <c r="G636" s="974">
        <v>20</v>
      </c>
      <c r="H636" s="974">
        <v>4750</v>
      </c>
      <c r="I636" s="974">
        <v>18</v>
      </c>
      <c r="J636" s="974">
        <v>112</v>
      </c>
      <c r="K636" s="974">
        <v>1125</v>
      </c>
      <c r="L636" s="974">
        <v>1.3</v>
      </c>
      <c r="M636" s="974">
        <v>1500</v>
      </c>
      <c r="N636" s="974">
        <v>400</v>
      </c>
      <c r="O636" s="974">
        <v>3</v>
      </c>
      <c r="P636" s="974">
        <v>0.7</v>
      </c>
      <c r="Q636" s="974">
        <v>0.59</v>
      </c>
      <c r="R636" s="974">
        <v>0.75</v>
      </c>
    </row>
    <row r="637" spans="1:18" x14ac:dyDescent="0.35">
      <c r="A637" s="974" t="s">
        <v>2287</v>
      </c>
      <c r="B637" s="974" t="s">
        <v>2308</v>
      </c>
      <c r="C637" s="974">
        <v>550</v>
      </c>
      <c r="D637" s="974">
        <v>-36</v>
      </c>
      <c r="E637" s="974">
        <v>-38</v>
      </c>
      <c r="F637" s="974">
        <v>24</v>
      </c>
      <c r="G637" s="974">
        <v>17</v>
      </c>
      <c r="H637" s="974">
        <v>7710</v>
      </c>
      <c r="I637" s="974">
        <v>15</v>
      </c>
      <c r="J637" s="974">
        <v>70</v>
      </c>
      <c r="K637" s="974">
        <v>500</v>
      </c>
      <c r="L637" s="974">
        <v>0.8</v>
      </c>
      <c r="M637" s="974">
        <v>880</v>
      </c>
      <c r="N637" s="974">
        <v>140</v>
      </c>
      <c r="O637" s="974">
        <v>4.8</v>
      </c>
      <c r="P637" s="974">
        <v>0.3</v>
      </c>
      <c r="Q637" s="974">
        <v>0.31</v>
      </c>
      <c r="R637" s="974">
        <v>0.4</v>
      </c>
    </row>
    <row r="638" spans="1:18" x14ac:dyDescent="0.35">
      <c r="A638" s="974" t="s">
        <v>2309</v>
      </c>
      <c r="B638" s="974" t="s">
        <v>2310</v>
      </c>
      <c r="C638" s="974">
        <v>920</v>
      </c>
      <c r="D638" s="974">
        <v>-44</v>
      </c>
      <c r="E638" s="974">
        <v>-46</v>
      </c>
      <c r="F638" s="974">
        <v>23</v>
      </c>
      <c r="G638" s="974">
        <v>15</v>
      </c>
      <c r="H638" s="974">
        <v>7500</v>
      </c>
      <c r="I638" s="974">
        <v>8</v>
      </c>
      <c r="J638" s="974">
        <v>43</v>
      </c>
      <c r="K638" s="974">
        <v>190</v>
      </c>
      <c r="L638" s="974">
        <v>0.6</v>
      </c>
      <c r="M638" s="974">
        <v>275</v>
      </c>
      <c r="N638" s="974">
        <v>40</v>
      </c>
      <c r="O638" s="974">
        <v>1.9</v>
      </c>
      <c r="P638" s="974">
        <v>0.1</v>
      </c>
      <c r="Q638" s="974">
        <v>0.27</v>
      </c>
      <c r="R638" s="974">
        <v>0.38</v>
      </c>
    </row>
    <row r="639" spans="1:18" x14ac:dyDescent="0.35">
      <c r="A639" s="974" t="s">
        <v>2309</v>
      </c>
      <c r="B639" s="974" t="s">
        <v>2311</v>
      </c>
      <c r="C639" s="974">
        <v>330</v>
      </c>
      <c r="D639" s="974">
        <v>-50</v>
      </c>
      <c r="E639" s="974">
        <v>-51</v>
      </c>
      <c r="F639" s="974">
        <v>26</v>
      </c>
      <c r="G639" s="974">
        <v>16</v>
      </c>
      <c r="H639" s="974">
        <v>8120</v>
      </c>
      <c r="I639" s="974">
        <v>10</v>
      </c>
      <c r="J639" s="974">
        <v>49</v>
      </c>
      <c r="K639" s="974">
        <v>200</v>
      </c>
      <c r="L639" s="974">
        <v>0.6</v>
      </c>
      <c r="M639" s="974">
        <v>350</v>
      </c>
      <c r="N639" s="974">
        <v>40</v>
      </c>
      <c r="O639" s="974">
        <v>2.9</v>
      </c>
      <c r="P639" s="974">
        <v>0.1</v>
      </c>
      <c r="Q639" s="974">
        <v>0.22</v>
      </c>
      <c r="R639" s="974">
        <v>0.31</v>
      </c>
    </row>
    <row r="640" spans="1:18" x14ac:dyDescent="0.35">
      <c r="A640" s="974" t="s">
        <v>2309</v>
      </c>
      <c r="B640" s="974" t="s">
        <v>2312</v>
      </c>
      <c r="C640" s="974">
        <v>815</v>
      </c>
      <c r="D640" s="974">
        <v>-43</v>
      </c>
      <c r="E640" s="974">
        <v>-45</v>
      </c>
      <c r="F640" s="974">
        <v>23</v>
      </c>
      <c r="G640" s="974">
        <v>14</v>
      </c>
      <c r="H640" s="974">
        <v>7800</v>
      </c>
      <c r="I640" s="974">
        <v>8</v>
      </c>
      <c r="J640" s="974">
        <v>49</v>
      </c>
      <c r="K640" s="974">
        <v>190</v>
      </c>
      <c r="L640" s="974">
        <v>0.6</v>
      </c>
      <c r="M640" s="974">
        <v>300</v>
      </c>
      <c r="N640" s="974">
        <v>80</v>
      </c>
      <c r="O640" s="974">
        <v>1.9</v>
      </c>
      <c r="P640" s="974">
        <v>0.1</v>
      </c>
      <c r="Q640" s="974">
        <v>0.42</v>
      </c>
      <c r="R640" s="974">
        <v>0.6</v>
      </c>
    </row>
    <row r="641" spans="1:18" x14ac:dyDescent="0.35">
      <c r="A641" s="974" t="s">
        <v>2309</v>
      </c>
      <c r="B641" s="974" t="s">
        <v>2313</v>
      </c>
      <c r="C641" s="974">
        <v>670</v>
      </c>
      <c r="D641" s="974">
        <v>-46</v>
      </c>
      <c r="E641" s="974">
        <v>-47</v>
      </c>
      <c r="F641" s="974">
        <v>25</v>
      </c>
      <c r="G641" s="974">
        <v>16</v>
      </c>
      <c r="H641" s="974">
        <v>7300</v>
      </c>
      <c r="I641" s="974">
        <v>10</v>
      </c>
      <c r="J641" s="974">
        <v>33</v>
      </c>
      <c r="K641" s="974">
        <v>215</v>
      </c>
      <c r="L641" s="974">
        <v>0.6</v>
      </c>
      <c r="M641" s="974">
        <v>315</v>
      </c>
      <c r="N641" s="974">
        <v>40</v>
      </c>
      <c r="O641" s="974">
        <v>2.2999999999999998</v>
      </c>
      <c r="P641" s="974">
        <v>0.1</v>
      </c>
      <c r="Q641" s="974">
        <v>0.26</v>
      </c>
      <c r="R641" s="974">
        <v>0.35</v>
      </c>
    </row>
    <row r="642" spans="1:18" x14ac:dyDescent="0.35">
      <c r="A642" s="974" t="s">
        <v>2309</v>
      </c>
      <c r="B642" s="974" t="s">
        <v>2314</v>
      </c>
      <c r="C642" s="974">
        <v>600</v>
      </c>
      <c r="D642" s="974">
        <v>-45</v>
      </c>
      <c r="E642" s="974">
        <v>-47</v>
      </c>
      <c r="F642" s="974">
        <v>24</v>
      </c>
      <c r="G642" s="974">
        <v>14</v>
      </c>
      <c r="H642" s="974">
        <v>7100</v>
      </c>
      <c r="I642" s="974">
        <v>8</v>
      </c>
      <c r="J642" s="974">
        <v>51</v>
      </c>
      <c r="K642" s="974">
        <v>145</v>
      </c>
      <c r="L642" s="974">
        <v>0.6</v>
      </c>
      <c r="M642" s="974">
        <v>315</v>
      </c>
      <c r="N642" s="974">
        <v>180</v>
      </c>
      <c r="O642" s="974">
        <v>2.2000000000000002</v>
      </c>
      <c r="P642" s="974">
        <v>0.1</v>
      </c>
      <c r="Q642" s="974">
        <v>0.24</v>
      </c>
      <c r="R642" s="974">
        <v>0.34</v>
      </c>
    </row>
    <row r="643" spans="1:18" x14ac:dyDescent="0.35">
      <c r="A643" s="974" t="s">
        <v>2309</v>
      </c>
      <c r="B643" s="974" t="s">
        <v>2315</v>
      </c>
      <c r="C643" s="974">
        <v>595</v>
      </c>
      <c r="D643" s="974">
        <v>-51</v>
      </c>
      <c r="E643" s="974">
        <v>-53</v>
      </c>
      <c r="F643" s="974">
        <v>23</v>
      </c>
      <c r="G643" s="974">
        <v>16</v>
      </c>
      <c r="H643" s="974">
        <v>8300</v>
      </c>
      <c r="I643" s="974">
        <v>8</v>
      </c>
      <c r="J643" s="974">
        <v>59</v>
      </c>
      <c r="K643" s="974">
        <v>290</v>
      </c>
      <c r="L643" s="974">
        <v>0.6</v>
      </c>
      <c r="M643" s="974">
        <v>350</v>
      </c>
      <c r="N643" s="974">
        <v>40</v>
      </c>
      <c r="O643" s="974">
        <v>2.2000000000000002</v>
      </c>
      <c r="P643" s="974">
        <v>0.1</v>
      </c>
      <c r="Q643" s="974">
        <v>0.22</v>
      </c>
      <c r="R643" s="974">
        <v>0.31</v>
      </c>
    </row>
    <row r="644" spans="1:18" x14ac:dyDescent="0.35">
      <c r="A644" s="974" t="s">
        <v>2309</v>
      </c>
      <c r="B644" s="974" t="s">
        <v>2316</v>
      </c>
      <c r="C644" s="974">
        <v>690</v>
      </c>
      <c r="D644" s="974">
        <v>-42</v>
      </c>
      <c r="E644" s="974">
        <v>-44</v>
      </c>
      <c r="F644" s="974">
        <v>24</v>
      </c>
      <c r="G644" s="974">
        <v>15</v>
      </c>
      <c r="H644" s="974">
        <v>6770</v>
      </c>
      <c r="I644" s="974">
        <v>10</v>
      </c>
      <c r="J644" s="974">
        <v>38</v>
      </c>
      <c r="K644" s="974">
        <v>200</v>
      </c>
      <c r="L644" s="974">
        <v>0.5</v>
      </c>
      <c r="M644" s="974">
        <v>340</v>
      </c>
      <c r="N644" s="974">
        <v>40</v>
      </c>
      <c r="O644" s="974">
        <v>3</v>
      </c>
      <c r="P644" s="974">
        <v>0.1</v>
      </c>
      <c r="Q644" s="974">
        <v>0.26</v>
      </c>
      <c r="R644" s="974">
        <v>0.34</v>
      </c>
    </row>
    <row r="645" spans="1:18" x14ac:dyDescent="0.35">
      <c r="A645" s="974" t="s">
        <v>2309</v>
      </c>
      <c r="B645" s="974" t="s">
        <v>2317</v>
      </c>
      <c r="C645" s="974">
        <v>685</v>
      </c>
      <c r="D645" s="974">
        <v>-46</v>
      </c>
      <c r="E645" s="974">
        <v>-48</v>
      </c>
      <c r="F645" s="974">
        <v>26</v>
      </c>
      <c r="G645" s="974">
        <v>16</v>
      </c>
      <c r="H645" s="974">
        <v>7470</v>
      </c>
      <c r="I645" s="974">
        <v>10</v>
      </c>
      <c r="J645" s="974">
        <v>54</v>
      </c>
      <c r="K645" s="974">
        <v>250</v>
      </c>
      <c r="L645" s="974">
        <v>0.6</v>
      </c>
      <c r="M645" s="974">
        <v>410</v>
      </c>
      <c r="N645" s="974">
        <v>60</v>
      </c>
      <c r="O645" s="974">
        <v>3.2</v>
      </c>
      <c r="P645" s="974">
        <v>0.1</v>
      </c>
      <c r="Q645" s="974">
        <v>0.26</v>
      </c>
      <c r="R645" s="974">
        <v>0.35</v>
      </c>
    </row>
    <row r="646" spans="1:18" x14ac:dyDescent="0.35">
      <c r="A646" s="974" t="s">
        <v>2309</v>
      </c>
      <c r="B646" s="974" t="s">
        <v>2318</v>
      </c>
      <c r="C646" s="974">
        <v>655</v>
      </c>
      <c r="D646" s="974">
        <v>-41</v>
      </c>
      <c r="E646" s="974">
        <v>-43</v>
      </c>
      <c r="F646" s="974">
        <v>25</v>
      </c>
      <c r="G646" s="974">
        <v>15</v>
      </c>
      <c r="H646" s="974">
        <v>6580</v>
      </c>
      <c r="I646" s="974">
        <v>8</v>
      </c>
      <c r="J646" s="974">
        <v>43</v>
      </c>
      <c r="K646" s="974">
        <v>170</v>
      </c>
      <c r="L646" s="974">
        <v>0.5</v>
      </c>
      <c r="M646" s="974">
        <v>275</v>
      </c>
      <c r="N646" s="974">
        <v>40</v>
      </c>
      <c r="O646" s="974">
        <v>2</v>
      </c>
      <c r="P646" s="974">
        <v>0.1</v>
      </c>
      <c r="Q646" s="974">
        <v>0.28999999999999998</v>
      </c>
      <c r="R646" s="974">
        <v>0.38</v>
      </c>
    </row>
    <row r="647" spans="1:18" x14ac:dyDescent="0.35">
      <c r="A647" s="974" t="s">
        <v>2319</v>
      </c>
      <c r="B647" s="974" t="s">
        <v>2320</v>
      </c>
      <c r="C647" s="974">
        <v>5</v>
      </c>
      <c r="D647" s="974">
        <v>-42</v>
      </c>
      <c r="E647" s="974">
        <v>-44</v>
      </c>
      <c r="F647" s="974">
        <v>26</v>
      </c>
      <c r="G647" s="974">
        <v>17</v>
      </c>
      <c r="H647" s="974">
        <v>9600</v>
      </c>
      <c r="I647" s="974">
        <v>6</v>
      </c>
      <c r="J647" s="974">
        <v>49</v>
      </c>
      <c r="K647" s="974">
        <v>115</v>
      </c>
      <c r="L647" s="974">
        <v>0.7</v>
      </c>
      <c r="M647" s="974">
        <v>250</v>
      </c>
      <c r="N647" s="974">
        <v>60</v>
      </c>
      <c r="O647" s="974">
        <v>2.8</v>
      </c>
      <c r="P647" s="974">
        <v>0.1</v>
      </c>
      <c r="Q647" s="974">
        <v>0.31</v>
      </c>
      <c r="R647" s="974">
        <v>0.4</v>
      </c>
    </row>
    <row r="648" spans="1:18" x14ac:dyDescent="0.35">
      <c r="A648" s="974" t="s">
        <v>2319</v>
      </c>
      <c r="B648" s="974" t="s">
        <v>2321</v>
      </c>
      <c r="C648" s="974">
        <v>160</v>
      </c>
      <c r="D648" s="974">
        <v>-42</v>
      </c>
      <c r="E648" s="974">
        <v>-44</v>
      </c>
      <c r="F648" s="974">
        <v>25</v>
      </c>
      <c r="G648" s="974">
        <v>17</v>
      </c>
      <c r="H648" s="974">
        <v>8300</v>
      </c>
      <c r="I648" s="974">
        <v>10</v>
      </c>
      <c r="J648" s="974">
        <v>60</v>
      </c>
      <c r="K648" s="974">
        <v>175</v>
      </c>
      <c r="L648" s="974">
        <v>0.6</v>
      </c>
      <c r="M648" s="974">
        <v>275</v>
      </c>
      <c r="N648" s="974">
        <v>80</v>
      </c>
      <c r="O648" s="974">
        <v>2.2999999999999998</v>
      </c>
      <c r="P648" s="974">
        <v>0.1</v>
      </c>
      <c r="Q648" s="974">
        <v>0.31</v>
      </c>
      <c r="R648" s="974">
        <v>0.4</v>
      </c>
    </row>
    <row r="649" spans="1:18" x14ac:dyDescent="0.35">
      <c r="A649" s="974" t="s">
        <v>2319</v>
      </c>
      <c r="B649" s="974" t="s">
        <v>2322</v>
      </c>
      <c r="C649" s="974">
        <v>195</v>
      </c>
      <c r="D649" s="974">
        <v>-42</v>
      </c>
      <c r="E649" s="974">
        <v>-44</v>
      </c>
      <c r="F649" s="974">
        <v>22</v>
      </c>
      <c r="G649" s="974">
        <v>16</v>
      </c>
      <c r="H649" s="974">
        <v>9300</v>
      </c>
      <c r="I649" s="974">
        <v>8</v>
      </c>
      <c r="J649" s="974">
        <v>60</v>
      </c>
      <c r="K649" s="974">
        <v>160</v>
      </c>
      <c r="L649" s="974">
        <v>0.7</v>
      </c>
      <c r="M649" s="974">
        <v>250</v>
      </c>
      <c r="N649" s="974">
        <v>80</v>
      </c>
      <c r="O649" s="974">
        <v>3</v>
      </c>
      <c r="P649" s="974">
        <v>0.1</v>
      </c>
      <c r="Q649" s="974">
        <v>0.41</v>
      </c>
      <c r="R649" s="974">
        <v>0.53</v>
      </c>
    </row>
    <row r="650" spans="1:18" x14ac:dyDescent="0.35">
      <c r="A650" s="974" t="s">
        <v>2319</v>
      </c>
      <c r="B650" s="974" t="s">
        <v>2323</v>
      </c>
      <c r="C650" s="974">
        <v>100</v>
      </c>
      <c r="D650" s="974">
        <v>-43</v>
      </c>
      <c r="E650" s="974">
        <v>-45</v>
      </c>
      <c r="F650" s="974">
        <v>28</v>
      </c>
      <c r="G650" s="974">
        <v>18</v>
      </c>
      <c r="H650" s="974">
        <v>8700</v>
      </c>
      <c r="I650" s="974">
        <v>9</v>
      </c>
      <c r="J650" s="974">
        <v>60</v>
      </c>
      <c r="K650" s="974">
        <v>140</v>
      </c>
      <c r="L650" s="974">
        <v>0.6</v>
      </c>
      <c r="M650" s="974">
        <v>280</v>
      </c>
      <c r="N650" s="974">
        <v>80</v>
      </c>
      <c r="O650" s="974">
        <v>2.9</v>
      </c>
      <c r="P650" s="974">
        <v>0.1</v>
      </c>
      <c r="Q650" s="974">
        <v>0.34</v>
      </c>
      <c r="R650" s="974">
        <v>0.44</v>
      </c>
    </row>
    <row r="651" spans="1:18" x14ac:dyDescent="0.35">
      <c r="A651" s="974" t="s">
        <v>2319</v>
      </c>
      <c r="B651" s="974" t="s">
        <v>2324</v>
      </c>
      <c r="C651" s="974">
        <v>25</v>
      </c>
      <c r="D651" s="974">
        <v>-44</v>
      </c>
      <c r="E651" s="974">
        <v>-46</v>
      </c>
      <c r="F651" s="974">
        <v>26</v>
      </c>
      <c r="G651" s="974">
        <v>17</v>
      </c>
      <c r="H651" s="974">
        <v>9150</v>
      </c>
      <c r="I651" s="974">
        <v>6</v>
      </c>
      <c r="J651" s="974">
        <v>50</v>
      </c>
      <c r="K651" s="974">
        <v>145</v>
      </c>
      <c r="L651" s="974">
        <v>0.7</v>
      </c>
      <c r="M651" s="974">
        <v>315</v>
      </c>
      <c r="N651" s="974">
        <v>60</v>
      </c>
      <c r="O651" s="974">
        <v>3.2</v>
      </c>
      <c r="P651" s="974">
        <v>0.1</v>
      </c>
      <c r="Q651" s="974">
        <v>0.31</v>
      </c>
      <c r="R651" s="974">
        <v>0.4</v>
      </c>
    </row>
    <row r="652" spans="1:18" x14ac:dyDescent="0.35">
      <c r="A652" s="974" t="s">
        <v>2319</v>
      </c>
      <c r="B652" s="974" t="s">
        <v>2325</v>
      </c>
      <c r="C652" s="974">
        <v>150</v>
      </c>
      <c r="D652" s="974">
        <v>-40</v>
      </c>
      <c r="E652" s="974">
        <v>-43</v>
      </c>
      <c r="F652" s="974">
        <v>28</v>
      </c>
      <c r="G652" s="974">
        <v>18</v>
      </c>
      <c r="H652" s="974">
        <v>7620</v>
      </c>
      <c r="I652" s="974">
        <v>10</v>
      </c>
      <c r="J652" s="974">
        <v>71</v>
      </c>
      <c r="K652" s="974">
        <v>210</v>
      </c>
      <c r="L652" s="974">
        <v>0.6</v>
      </c>
      <c r="M652" s="974">
        <v>350</v>
      </c>
      <c r="N652" s="974">
        <v>100</v>
      </c>
      <c r="O652" s="974">
        <v>2.4</v>
      </c>
      <c r="P652" s="974">
        <v>0.1</v>
      </c>
      <c r="Q652" s="974">
        <v>0.27</v>
      </c>
      <c r="R652" s="974">
        <v>0.35</v>
      </c>
    </row>
    <row r="653" spans="1:18" x14ac:dyDescent="0.35">
      <c r="A653" s="974" t="s">
        <v>2319</v>
      </c>
      <c r="B653" s="974" t="s">
        <v>2326</v>
      </c>
      <c r="C653" s="974">
        <v>160</v>
      </c>
      <c r="D653" s="974">
        <v>-40</v>
      </c>
      <c r="E653" s="974">
        <v>-42</v>
      </c>
      <c r="F653" s="974">
        <v>26</v>
      </c>
      <c r="G653" s="974">
        <v>18</v>
      </c>
      <c r="H653" s="974">
        <v>7750</v>
      </c>
      <c r="I653" s="974">
        <v>10</v>
      </c>
      <c r="J653" s="974">
        <v>60</v>
      </c>
      <c r="K653" s="974">
        <v>175</v>
      </c>
      <c r="L653" s="974">
        <v>0.6</v>
      </c>
      <c r="M653" s="974">
        <v>300</v>
      </c>
      <c r="N653" s="974">
        <v>140</v>
      </c>
      <c r="O653" s="974">
        <v>2.2999999999999998</v>
      </c>
      <c r="P653" s="974">
        <v>0.1</v>
      </c>
      <c r="Q653" s="974">
        <v>0.3</v>
      </c>
      <c r="R653" s="974">
        <v>0.39</v>
      </c>
    </row>
    <row r="654" spans="1:18" x14ac:dyDescent="0.35">
      <c r="A654" s="974" t="s">
        <v>2319</v>
      </c>
      <c r="B654" s="974" t="s">
        <v>2327</v>
      </c>
      <c r="C654" s="974">
        <v>120</v>
      </c>
      <c r="D654" s="974">
        <v>-42</v>
      </c>
      <c r="E654" s="974">
        <v>-44</v>
      </c>
      <c r="F654" s="974">
        <v>28</v>
      </c>
      <c r="G654" s="974">
        <v>19</v>
      </c>
      <c r="H654" s="974">
        <v>7660</v>
      </c>
      <c r="I654" s="974">
        <v>12</v>
      </c>
      <c r="J654" s="974">
        <v>76</v>
      </c>
      <c r="K654" s="974">
        <v>225</v>
      </c>
      <c r="L654" s="974">
        <v>0.6</v>
      </c>
      <c r="M654" s="974">
        <v>360</v>
      </c>
      <c r="N654" s="974">
        <v>80</v>
      </c>
      <c r="O654" s="974">
        <v>2.2999999999999998</v>
      </c>
      <c r="P654" s="974">
        <v>0.1</v>
      </c>
      <c r="Q654" s="974">
        <v>0.3</v>
      </c>
      <c r="R654" s="974">
        <v>0.39</v>
      </c>
    </row>
    <row r="655" spans="1:18" x14ac:dyDescent="0.35">
      <c r="A655" s="974" t="s">
        <v>2319</v>
      </c>
      <c r="B655" s="974" t="s">
        <v>2328</v>
      </c>
      <c r="C655" s="974">
        <v>205</v>
      </c>
      <c r="D655" s="974">
        <v>-41</v>
      </c>
      <c r="E655" s="974">
        <v>-43</v>
      </c>
      <c r="F655" s="974">
        <v>28</v>
      </c>
      <c r="G655" s="974">
        <v>19</v>
      </c>
      <c r="H655" s="974">
        <v>7300</v>
      </c>
      <c r="I655" s="974">
        <v>10</v>
      </c>
      <c r="J655" s="974">
        <v>65</v>
      </c>
      <c r="K655" s="974">
        <v>250</v>
      </c>
      <c r="L655" s="974">
        <v>0.6</v>
      </c>
      <c r="M655" s="974">
        <v>350</v>
      </c>
      <c r="N655" s="974">
        <v>80</v>
      </c>
      <c r="O655" s="974">
        <v>2.2999999999999998</v>
      </c>
      <c r="P655" s="974">
        <v>0.2</v>
      </c>
      <c r="Q655" s="974">
        <v>0.3</v>
      </c>
      <c r="R655" s="974">
        <v>0.39</v>
      </c>
    </row>
    <row r="656" spans="1:18" x14ac:dyDescent="0.35">
      <c r="A656" s="974" t="s">
        <v>2319</v>
      </c>
      <c r="B656" s="974" t="s">
        <v>2329</v>
      </c>
      <c r="C656" s="974">
        <v>45</v>
      </c>
      <c r="D656" s="974">
        <v>-38</v>
      </c>
      <c r="E656" s="974">
        <v>-41</v>
      </c>
      <c r="F656" s="974">
        <v>27</v>
      </c>
      <c r="G656" s="974">
        <v>18</v>
      </c>
      <c r="H656" s="974">
        <v>7550</v>
      </c>
      <c r="I656" s="974">
        <v>10</v>
      </c>
      <c r="J656" s="974">
        <v>60</v>
      </c>
      <c r="K656" s="974">
        <v>200</v>
      </c>
      <c r="L656" s="974">
        <v>0.6</v>
      </c>
      <c r="M656" s="974">
        <v>325</v>
      </c>
      <c r="N656" s="974">
        <v>140</v>
      </c>
      <c r="O656" s="974">
        <v>2.4</v>
      </c>
      <c r="P656" s="974">
        <v>0.1</v>
      </c>
      <c r="Q656" s="974">
        <v>0.27</v>
      </c>
      <c r="R656" s="974">
        <v>0.35</v>
      </c>
    </row>
    <row r="657" spans="1:18" x14ac:dyDescent="0.35">
      <c r="A657" s="974" t="s">
        <v>2319</v>
      </c>
      <c r="B657" s="974" t="s">
        <v>407</v>
      </c>
      <c r="C657" s="974">
        <v>45</v>
      </c>
      <c r="D657" s="974">
        <v>-43</v>
      </c>
      <c r="E657" s="974">
        <v>-45</v>
      </c>
      <c r="F657" s="974">
        <v>26</v>
      </c>
      <c r="G657" s="974">
        <v>17</v>
      </c>
      <c r="H657" s="974">
        <v>9600</v>
      </c>
      <c r="I657" s="974">
        <v>6</v>
      </c>
      <c r="J657" s="974">
        <v>49</v>
      </c>
      <c r="K657" s="974">
        <v>115</v>
      </c>
      <c r="L657" s="974">
        <v>0.7</v>
      </c>
      <c r="M657" s="974">
        <v>425</v>
      </c>
      <c r="N657" s="974">
        <v>60</v>
      </c>
      <c r="O657" s="974">
        <v>3.1</v>
      </c>
      <c r="P657" s="974">
        <v>0.1</v>
      </c>
      <c r="Q657" s="974">
        <v>0.31</v>
      </c>
      <c r="R657" s="974">
        <v>0.4</v>
      </c>
    </row>
    <row r="658" spans="1:18" x14ac:dyDescent="0.35">
      <c r="A658" s="974" t="s">
        <v>2319</v>
      </c>
      <c r="B658" s="974" t="s">
        <v>2330</v>
      </c>
      <c r="C658" s="974">
        <v>5</v>
      </c>
      <c r="D658" s="974">
        <v>-44</v>
      </c>
      <c r="E658" s="974">
        <v>-46</v>
      </c>
      <c r="F658" s="974">
        <v>11</v>
      </c>
      <c r="G658" s="974">
        <v>8</v>
      </c>
      <c r="H658" s="974">
        <v>12900</v>
      </c>
      <c r="I658" s="974">
        <v>3</v>
      </c>
      <c r="J658" s="974">
        <v>33</v>
      </c>
      <c r="K658" s="974">
        <v>25</v>
      </c>
      <c r="L658" s="974">
        <v>0.9</v>
      </c>
      <c r="M658" s="974">
        <v>100</v>
      </c>
      <c r="N658" s="974">
        <v>140</v>
      </c>
      <c r="O658" s="974">
        <v>1.5</v>
      </c>
      <c r="P658" s="974">
        <v>0.1</v>
      </c>
      <c r="Q658" s="974">
        <v>0.45</v>
      </c>
      <c r="R658" s="974">
        <v>0.57999999999999996</v>
      </c>
    </row>
    <row r="659" spans="1:18" x14ac:dyDescent="0.35">
      <c r="A659" s="974" t="s">
        <v>2319</v>
      </c>
      <c r="B659" s="974" t="s">
        <v>2331</v>
      </c>
      <c r="C659" s="974">
        <v>65</v>
      </c>
      <c r="D659" s="974">
        <v>-43</v>
      </c>
      <c r="E659" s="974">
        <v>-45</v>
      </c>
      <c r="F659" s="974">
        <v>28</v>
      </c>
      <c r="G659" s="974">
        <v>18</v>
      </c>
      <c r="H659" s="974">
        <v>8510</v>
      </c>
      <c r="I659" s="974">
        <v>9</v>
      </c>
      <c r="J659" s="974">
        <v>60</v>
      </c>
      <c r="K659" s="974">
        <v>165</v>
      </c>
      <c r="L659" s="974">
        <v>0.6</v>
      </c>
      <c r="M659" s="974">
        <v>320</v>
      </c>
      <c r="N659" s="974">
        <v>80</v>
      </c>
      <c r="O659" s="974">
        <v>3</v>
      </c>
      <c r="P659" s="974">
        <v>0.1</v>
      </c>
      <c r="Q659" s="974">
        <v>0.34</v>
      </c>
      <c r="R659" s="974">
        <v>0.44</v>
      </c>
    </row>
    <row r="660" spans="1:18" x14ac:dyDescent="0.35">
      <c r="A660" s="974" t="s">
        <v>2319</v>
      </c>
      <c r="B660" s="974" t="s">
        <v>2332</v>
      </c>
      <c r="C660" s="974">
        <v>1340</v>
      </c>
      <c r="D660" s="974">
        <v>-49</v>
      </c>
      <c r="E660" s="974">
        <v>-51</v>
      </c>
      <c r="F660" s="974">
        <v>26</v>
      </c>
      <c r="G660" s="974">
        <v>16</v>
      </c>
      <c r="H660" s="974">
        <v>7700</v>
      </c>
      <c r="I660" s="974">
        <v>10</v>
      </c>
      <c r="J660" s="974">
        <v>44</v>
      </c>
      <c r="K660" s="974">
        <v>315</v>
      </c>
      <c r="L660" s="974">
        <v>0.8</v>
      </c>
      <c r="M660" s="974">
        <v>640</v>
      </c>
      <c r="N660" s="974">
        <v>40</v>
      </c>
      <c r="O660" s="974">
        <v>4.3</v>
      </c>
      <c r="P660" s="974">
        <v>0.1</v>
      </c>
      <c r="Q660" s="974">
        <v>0.34</v>
      </c>
      <c r="R660" s="974">
        <v>0.44</v>
      </c>
    </row>
    <row r="661" spans="1:18" x14ac:dyDescent="0.35">
      <c r="A661" s="974" t="s">
        <v>2319</v>
      </c>
      <c r="B661" s="974" t="s">
        <v>2333</v>
      </c>
      <c r="C661" s="974">
        <v>10</v>
      </c>
      <c r="D661" s="974">
        <v>-39</v>
      </c>
      <c r="E661" s="974">
        <v>-41</v>
      </c>
      <c r="F661" s="974">
        <v>18</v>
      </c>
      <c r="G661" s="974">
        <v>12</v>
      </c>
      <c r="H661" s="974">
        <v>10700</v>
      </c>
      <c r="I661" s="974">
        <v>3</v>
      </c>
      <c r="J661" s="974">
        <v>44</v>
      </c>
      <c r="K661" s="974">
        <v>80</v>
      </c>
      <c r="L661" s="974">
        <v>0.9</v>
      </c>
      <c r="M661" s="974">
        <v>250</v>
      </c>
      <c r="N661" s="974">
        <v>120</v>
      </c>
      <c r="O661" s="974">
        <v>2.1</v>
      </c>
      <c r="P661" s="974">
        <v>0.1</v>
      </c>
      <c r="Q661" s="974">
        <v>0.67</v>
      </c>
      <c r="R661" s="974">
        <v>0.86</v>
      </c>
    </row>
    <row r="662" spans="1:18" x14ac:dyDescent="0.35">
      <c r="A662" s="974" t="s">
        <v>2319</v>
      </c>
      <c r="B662" s="974" t="s">
        <v>2334</v>
      </c>
      <c r="C662" s="974">
        <v>80</v>
      </c>
      <c r="D662" s="974">
        <v>-42</v>
      </c>
      <c r="E662" s="974">
        <v>-44</v>
      </c>
      <c r="F662" s="974">
        <v>28</v>
      </c>
      <c r="G662" s="974">
        <v>18</v>
      </c>
      <c r="H662" s="974">
        <v>8050</v>
      </c>
      <c r="I662" s="974">
        <v>10</v>
      </c>
      <c r="J662" s="974">
        <v>54</v>
      </c>
      <c r="K662" s="974">
        <v>220</v>
      </c>
      <c r="L662" s="974">
        <v>0.6</v>
      </c>
      <c r="M662" s="974">
        <v>350</v>
      </c>
      <c r="N662" s="974">
        <v>80</v>
      </c>
      <c r="O662" s="974">
        <v>2.8</v>
      </c>
      <c r="P662" s="974">
        <v>0.1</v>
      </c>
      <c r="Q662" s="974">
        <v>0.3</v>
      </c>
      <c r="R662" s="974">
        <v>0.39</v>
      </c>
    </row>
    <row r="663" spans="1:18" x14ac:dyDescent="0.35">
      <c r="A663" s="974" t="s">
        <v>2319</v>
      </c>
      <c r="B663" s="974" t="s">
        <v>2335</v>
      </c>
      <c r="C663" s="974">
        <v>160</v>
      </c>
      <c r="D663" s="974">
        <v>-41</v>
      </c>
      <c r="E663" s="974">
        <v>-44</v>
      </c>
      <c r="F663" s="974">
        <v>25</v>
      </c>
      <c r="G663" s="974">
        <v>17</v>
      </c>
      <c r="H663" s="974">
        <v>8170</v>
      </c>
      <c r="I663" s="974">
        <v>10</v>
      </c>
      <c r="J663" s="974">
        <v>60</v>
      </c>
      <c r="K663" s="974">
        <v>175</v>
      </c>
      <c r="L663" s="974">
        <v>0.6</v>
      </c>
      <c r="M663" s="974">
        <v>275</v>
      </c>
      <c r="N663" s="974">
        <v>100</v>
      </c>
      <c r="O663" s="974">
        <v>2.2000000000000002</v>
      </c>
      <c r="P663" s="974">
        <v>0.1</v>
      </c>
      <c r="Q663" s="974">
        <v>0.31</v>
      </c>
      <c r="R663" s="974">
        <v>0.4</v>
      </c>
    </row>
    <row r="664" spans="1:18" x14ac:dyDescent="0.35">
      <c r="A664" s="974" t="s">
        <v>2336</v>
      </c>
      <c r="B664" s="974" t="s">
        <v>2337</v>
      </c>
      <c r="C664" s="974">
        <v>5</v>
      </c>
      <c r="D664" s="974">
        <v>-43</v>
      </c>
      <c r="E664" s="974">
        <v>-44</v>
      </c>
      <c r="F664" s="974">
        <v>13</v>
      </c>
      <c r="G664" s="974">
        <v>8</v>
      </c>
      <c r="H664" s="974">
        <v>13030</v>
      </c>
      <c r="I664" s="974">
        <v>3</v>
      </c>
      <c r="J664" s="974">
        <v>22</v>
      </c>
      <c r="K664" s="974">
        <v>20</v>
      </c>
      <c r="L664" s="974">
        <v>1</v>
      </c>
      <c r="M664" s="974">
        <v>150</v>
      </c>
      <c r="N664" s="974">
        <v>100</v>
      </c>
      <c r="O664" s="974">
        <v>2.6</v>
      </c>
      <c r="P664" s="974">
        <v>0.1</v>
      </c>
      <c r="Q664" s="974">
        <v>0.59</v>
      </c>
      <c r="R664" s="974">
        <v>0.75</v>
      </c>
    </row>
    <row r="665" spans="1:18" x14ac:dyDescent="0.35">
      <c r="A665" s="974" t="s">
        <v>2336</v>
      </c>
      <c r="B665" s="974" t="s">
        <v>2338</v>
      </c>
      <c r="C665" s="974">
        <v>15</v>
      </c>
      <c r="D665" s="974">
        <v>-42</v>
      </c>
      <c r="E665" s="974">
        <v>-44</v>
      </c>
      <c r="F665" s="974">
        <v>14</v>
      </c>
      <c r="G665" s="974">
        <v>10</v>
      </c>
      <c r="H665" s="974">
        <v>11900</v>
      </c>
      <c r="I665" s="974">
        <v>3</v>
      </c>
      <c r="J665" s="974">
        <v>38</v>
      </c>
      <c r="K665" s="974">
        <v>60</v>
      </c>
      <c r="L665" s="974">
        <v>0.9</v>
      </c>
      <c r="M665" s="974">
        <v>150</v>
      </c>
      <c r="N665" s="974">
        <v>160</v>
      </c>
      <c r="O665" s="974">
        <v>2.4</v>
      </c>
      <c r="P665" s="974">
        <v>0.1</v>
      </c>
      <c r="Q665" s="974">
        <v>0.43</v>
      </c>
      <c r="R665" s="974">
        <v>0.55000000000000004</v>
      </c>
    </row>
    <row r="666" spans="1:18" x14ac:dyDescent="0.35">
      <c r="A666" s="974" t="s">
        <v>2336</v>
      </c>
      <c r="B666" s="974" t="s">
        <v>2339</v>
      </c>
      <c r="C666" s="974">
        <v>5</v>
      </c>
      <c r="D666" s="974">
        <v>-40</v>
      </c>
      <c r="E666" s="974">
        <v>-41</v>
      </c>
      <c r="F666" s="974">
        <v>22</v>
      </c>
      <c r="G666" s="974">
        <v>16</v>
      </c>
      <c r="H666" s="974">
        <v>9850</v>
      </c>
      <c r="I666" s="974">
        <v>8</v>
      </c>
      <c r="J666" s="974">
        <v>65</v>
      </c>
      <c r="K666" s="974">
        <v>225</v>
      </c>
      <c r="L666" s="974">
        <v>0.9</v>
      </c>
      <c r="M666" s="974">
        <v>300</v>
      </c>
      <c r="N666" s="974">
        <v>240</v>
      </c>
      <c r="O666" s="974">
        <v>3</v>
      </c>
      <c r="P666" s="974">
        <v>0.2</v>
      </c>
      <c r="Q666" s="974">
        <v>0.45</v>
      </c>
      <c r="R666" s="974">
        <v>0.57999999999999996</v>
      </c>
    </row>
    <row r="667" spans="1:18" x14ac:dyDescent="0.35">
      <c r="A667" s="974" t="s">
        <v>2336</v>
      </c>
      <c r="B667" s="974" t="s">
        <v>2340</v>
      </c>
      <c r="C667" s="974">
        <v>5</v>
      </c>
      <c r="D667" s="974">
        <v>-42</v>
      </c>
      <c r="E667" s="974">
        <v>-44</v>
      </c>
      <c r="F667" s="974">
        <v>23</v>
      </c>
      <c r="G667" s="974">
        <v>15</v>
      </c>
      <c r="H667" s="974">
        <v>10700</v>
      </c>
      <c r="I667" s="974">
        <v>5</v>
      </c>
      <c r="J667" s="974">
        <v>55</v>
      </c>
      <c r="K667" s="974">
        <v>160</v>
      </c>
      <c r="L667" s="974">
        <v>0.8</v>
      </c>
      <c r="M667" s="974">
        <v>260</v>
      </c>
      <c r="N667" s="974">
        <v>180</v>
      </c>
      <c r="O667" s="974">
        <v>3.4</v>
      </c>
      <c r="P667" s="974">
        <v>0.2</v>
      </c>
      <c r="Q667" s="974">
        <v>0.42</v>
      </c>
      <c r="R667" s="974">
        <v>0.54</v>
      </c>
    </row>
    <row r="668" spans="1:18" x14ac:dyDescent="0.35">
      <c r="A668" s="974" t="s">
        <v>2336</v>
      </c>
      <c r="B668" s="974" t="s">
        <v>2341</v>
      </c>
      <c r="C668" s="974">
        <v>5</v>
      </c>
      <c r="D668" s="974">
        <v>-47</v>
      </c>
      <c r="E668" s="974">
        <v>-48</v>
      </c>
      <c r="F668" s="974">
        <v>12</v>
      </c>
      <c r="G668" s="974">
        <v>8</v>
      </c>
      <c r="H668" s="974">
        <v>13500</v>
      </c>
      <c r="I668" s="974">
        <v>3</v>
      </c>
      <c r="J668" s="974">
        <v>27</v>
      </c>
      <c r="K668" s="974">
        <v>25</v>
      </c>
      <c r="L668" s="974">
        <v>1</v>
      </c>
      <c r="M668" s="974">
        <v>70</v>
      </c>
      <c r="N668" s="974">
        <v>100</v>
      </c>
      <c r="O668" s="974">
        <v>1.6</v>
      </c>
      <c r="P668" s="974">
        <v>0.1</v>
      </c>
      <c r="Q668" s="974">
        <v>0.43</v>
      </c>
      <c r="R668" s="974">
        <v>0.55000000000000004</v>
      </c>
    </row>
    <row r="669" spans="1:18" x14ac:dyDescent="0.35">
      <c r="A669" s="974" t="s">
        <v>2336</v>
      </c>
      <c r="B669" s="974" t="s">
        <v>2342</v>
      </c>
      <c r="C669" s="974">
        <v>10</v>
      </c>
      <c r="D669" s="974">
        <v>-40</v>
      </c>
      <c r="E669" s="974">
        <v>-41</v>
      </c>
      <c r="F669" s="974">
        <v>20</v>
      </c>
      <c r="G669" s="974">
        <v>14</v>
      </c>
      <c r="H669" s="974">
        <v>10500</v>
      </c>
      <c r="I669" s="974">
        <v>5</v>
      </c>
      <c r="J669" s="974">
        <v>60</v>
      </c>
      <c r="K669" s="974">
        <v>175</v>
      </c>
      <c r="L669" s="974">
        <v>0.9</v>
      </c>
      <c r="M669" s="974">
        <v>270</v>
      </c>
      <c r="N669" s="974">
        <v>240</v>
      </c>
      <c r="O669" s="974">
        <v>3.6</v>
      </c>
      <c r="P669" s="974">
        <v>0.2</v>
      </c>
      <c r="Q669" s="974">
        <v>0.44</v>
      </c>
      <c r="R669" s="974">
        <v>0.56000000000000005</v>
      </c>
    </row>
    <row r="670" spans="1:18" x14ac:dyDescent="0.35">
      <c r="A670" s="974" t="s">
        <v>2336</v>
      </c>
      <c r="B670" s="974" t="s">
        <v>2343</v>
      </c>
      <c r="C670" s="974">
        <v>45</v>
      </c>
      <c r="D670" s="974">
        <v>-40</v>
      </c>
      <c r="E670" s="974">
        <v>-41</v>
      </c>
      <c r="F670" s="974">
        <v>17</v>
      </c>
      <c r="G670" s="974">
        <v>12</v>
      </c>
      <c r="H670" s="974">
        <v>9980</v>
      </c>
      <c r="I670" s="974">
        <v>5</v>
      </c>
      <c r="J670" s="974">
        <v>58</v>
      </c>
      <c r="K670" s="974">
        <v>200</v>
      </c>
      <c r="L670" s="974">
        <v>0.9</v>
      </c>
      <c r="M670" s="974">
        <v>433</v>
      </c>
      <c r="N670" s="974">
        <v>200</v>
      </c>
      <c r="O670" s="974">
        <v>2.9</v>
      </c>
      <c r="P670" s="974">
        <v>0.2</v>
      </c>
      <c r="Q670" s="974">
        <v>0.51</v>
      </c>
      <c r="R670" s="974">
        <v>0.65</v>
      </c>
    </row>
    <row r="671" spans="1:18" x14ac:dyDescent="0.35">
      <c r="A671" s="974" t="s">
        <v>2336</v>
      </c>
      <c r="B671" s="974" t="s">
        <v>2344</v>
      </c>
      <c r="C671" s="974">
        <v>15</v>
      </c>
      <c r="D671" s="974">
        <v>-41</v>
      </c>
      <c r="E671" s="974">
        <v>-44</v>
      </c>
      <c r="F671" s="974">
        <v>18</v>
      </c>
      <c r="G671" s="974">
        <v>13</v>
      </c>
      <c r="H671" s="974">
        <v>11670</v>
      </c>
      <c r="I671" s="974">
        <v>4</v>
      </c>
      <c r="J671" s="974">
        <v>38</v>
      </c>
      <c r="K671" s="974">
        <v>70</v>
      </c>
      <c r="L671" s="974">
        <v>0.9</v>
      </c>
      <c r="M671" s="974">
        <v>140</v>
      </c>
      <c r="N671" s="974">
        <v>100</v>
      </c>
      <c r="O671" s="974">
        <v>1.9</v>
      </c>
      <c r="P671" s="974">
        <v>0.1</v>
      </c>
      <c r="Q671" s="974">
        <v>0.39</v>
      </c>
      <c r="R671" s="974">
        <v>0.5</v>
      </c>
    </row>
    <row r="672" spans="1:18" x14ac:dyDescent="0.35">
      <c r="A672" s="974" t="s">
        <v>2336</v>
      </c>
      <c r="B672" s="974" t="s">
        <v>2345</v>
      </c>
      <c r="C672" s="974">
        <v>10</v>
      </c>
      <c r="D672" s="974">
        <v>-46</v>
      </c>
      <c r="E672" s="974">
        <v>-48</v>
      </c>
      <c r="F672" s="974">
        <v>12</v>
      </c>
      <c r="G672" s="974">
        <v>9</v>
      </c>
      <c r="H672" s="974">
        <v>13600</v>
      </c>
      <c r="I672" s="974">
        <v>3</v>
      </c>
      <c r="J672" s="974">
        <v>27</v>
      </c>
      <c r="K672" s="974">
        <v>25</v>
      </c>
      <c r="L672" s="974">
        <v>1</v>
      </c>
      <c r="M672" s="974">
        <v>75</v>
      </c>
      <c r="N672" s="974">
        <v>140</v>
      </c>
      <c r="O672" s="974">
        <v>1.9</v>
      </c>
      <c r="P672" s="974">
        <v>0.1</v>
      </c>
      <c r="Q672" s="974">
        <v>0.47</v>
      </c>
      <c r="R672" s="974">
        <v>0.6</v>
      </c>
    </row>
    <row r="673" spans="1:18" x14ac:dyDescent="0.35">
      <c r="A673" s="974" t="s">
        <v>2336</v>
      </c>
      <c r="B673" s="974" t="s">
        <v>2346</v>
      </c>
      <c r="C673" s="974">
        <v>10</v>
      </c>
      <c r="D673" s="974">
        <v>-41</v>
      </c>
      <c r="E673" s="974">
        <v>-42</v>
      </c>
      <c r="F673" s="974">
        <v>21</v>
      </c>
      <c r="G673" s="974">
        <v>15</v>
      </c>
      <c r="H673" s="974">
        <v>10500</v>
      </c>
      <c r="I673" s="974">
        <v>5</v>
      </c>
      <c r="J673" s="974">
        <v>65</v>
      </c>
      <c r="K673" s="974">
        <v>180</v>
      </c>
      <c r="L673" s="974">
        <v>0.9</v>
      </c>
      <c r="M673" s="974">
        <v>250</v>
      </c>
      <c r="N673" s="974">
        <v>240</v>
      </c>
      <c r="O673" s="974">
        <v>3</v>
      </c>
      <c r="P673" s="974">
        <v>0.2</v>
      </c>
      <c r="Q673" s="974">
        <v>0.47</v>
      </c>
      <c r="R673" s="974">
        <v>0.6</v>
      </c>
    </row>
    <row r="674" spans="1:18" x14ac:dyDescent="0.35">
      <c r="A674" s="974" t="s">
        <v>2336</v>
      </c>
      <c r="B674" s="974" t="s">
        <v>2347</v>
      </c>
      <c r="C674" s="974">
        <v>5</v>
      </c>
      <c r="D674" s="974">
        <v>-40</v>
      </c>
      <c r="E674" s="974">
        <v>-42</v>
      </c>
      <c r="F674" s="974">
        <v>14</v>
      </c>
      <c r="G674" s="974">
        <v>10</v>
      </c>
      <c r="H674" s="974">
        <v>11300</v>
      </c>
      <c r="I674" s="974">
        <v>5</v>
      </c>
      <c r="J674" s="974">
        <v>44</v>
      </c>
      <c r="K674" s="974">
        <v>55</v>
      </c>
      <c r="L674" s="974">
        <v>0.9</v>
      </c>
      <c r="M674" s="974">
        <v>225</v>
      </c>
      <c r="N674" s="974">
        <v>220</v>
      </c>
      <c r="O674" s="974">
        <v>4.2</v>
      </c>
      <c r="P674" s="974">
        <v>0.2</v>
      </c>
      <c r="Q674" s="974">
        <v>0.43</v>
      </c>
      <c r="R674" s="974">
        <v>0.55000000000000004</v>
      </c>
    </row>
    <row r="675" spans="1:18" x14ac:dyDescent="0.35">
      <c r="A675" s="974" t="s">
        <v>2336</v>
      </c>
      <c r="B675" s="974" t="s">
        <v>2348</v>
      </c>
      <c r="C675" s="974">
        <v>10</v>
      </c>
      <c r="D675" s="974">
        <v>-41</v>
      </c>
      <c r="E675" s="974">
        <v>-43</v>
      </c>
      <c r="F675" s="974">
        <v>23</v>
      </c>
      <c r="G675" s="974">
        <v>16</v>
      </c>
      <c r="H675" s="974">
        <v>10300</v>
      </c>
      <c r="I675" s="974">
        <v>6</v>
      </c>
      <c r="J675" s="974">
        <v>65</v>
      </c>
      <c r="K675" s="974">
        <v>140</v>
      </c>
      <c r="L675" s="974">
        <v>0.8</v>
      </c>
      <c r="M675" s="974">
        <v>150</v>
      </c>
      <c r="N675" s="974">
        <v>80</v>
      </c>
      <c r="O675" s="974">
        <v>3.4</v>
      </c>
      <c r="P675" s="974">
        <v>0.1</v>
      </c>
      <c r="Q675" s="974">
        <v>0.36</v>
      </c>
      <c r="R675" s="974">
        <v>0.46</v>
      </c>
    </row>
    <row r="676" spans="1:18" x14ac:dyDescent="0.35">
      <c r="A676" s="974" t="s">
        <v>2336</v>
      </c>
      <c r="B676" s="974" t="s">
        <v>2349</v>
      </c>
      <c r="C676" s="974">
        <v>30</v>
      </c>
      <c r="D676" s="974">
        <v>-37</v>
      </c>
      <c r="E676" s="974">
        <v>-39</v>
      </c>
      <c r="F676" s="974">
        <v>16</v>
      </c>
      <c r="G676" s="974">
        <v>13</v>
      </c>
      <c r="H676" s="974">
        <v>10000</v>
      </c>
      <c r="I676" s="974">
        <v>5</v>
      </c>
      <c r="J676" s="974">
        <v>54</v>
      </c>
      <c r="K676" s="974">
        <v>175</v>
      </c>
      <c r="L676" s="974">
        <v>0.9</v>
      </c>
      <c r="M676" s="974">
        <v>325</v>
      </c>
      <c r="N676" s="974">
        <v>200</v>
      </c>
      <c r="O676" s="974">
        <v>4.7</v>
      </c>
      <c r="P676" s="974">
        <v>0.2</v>
      </c>
      <c r="Q676" s="974">
        <v>0.61</v>
      </c>
      <c r="R676" s="974">
        <v>0.78</v>
      </c>
    </row>
    <row r="677" spans="1:18" x14ac:dyDescent="0.35">
      <c r="A677" s="974" t="s">
        <v>2336</v>
      </c>
      <c r="B677" s="974" t="s">
        <v>2350</v>
      </c>
      <c r="C677" s="974">
        <v>25</v>
      </c>
      <c r="D677" s="974">
        <v>-42</v>
      </c>
      <c r="E677" s="974">
        <v>-43</v>
      </c>
      <c r="F677" s="974">
        <v>11</v>
      </c>
      <c r="G677" s="974">
        <v>9</v>
      </c>
      <c r="H677" s="974">
        <v>12360</v>
      </c>
      <c r="I677" s="974">
        <v>3</v>
      </c>
      <c r="J677" s="974">
        <v>27</v>
      </c>
      <c r="K677" s="974">
        <v>50</v>
      </c>
      <c r="L677" s="974">
        <v>0.9</v>
      </c>
      <c r="M677" s="974">
        <v>140</v>
      </c>
      <c r="N677" s="974">
        <v>180</v>
      </c>
      <c r="O677" s="974">
        <v>2</v>
      </c>
      <c r="P677" s="974">
        <v>0.1</v>
      </c>
      <c r="Q677" s="974">
        <v>0.46</v>
      </c>
      <c r="R677" s="974">
        <v>0.59</v>
      </c>
    </row>
    <row r="678" spans="1:18" x14ac:dyDescent="0.35">
      <c r="A678" s="974" t="s">
        <v>2336</v>
      </c>
      <c r="B678" s="974" t="s">
        <v>2351</v>
      </c>
      <c r="C678" s="974">
        <v>5</v>
      </c>
      <c r="D678" s="974">
        <v>-32</v>
      </c>
      <c r="E678" s="974">
        <v>-34</v>
      </c>
      <c r="F678" s="974">
        <v>12</v>
      </c>
      <c r="G678" s="974">
        <v>10</v>
      </c>
      <c r="H678" s="974">
        <v>9000</v>
      </c>
      <c r="I678" s="974">
        <v>5</v>
      </c>
      <c r="J678" s="974">
        <v>71</v>
      </c>
      <c r="K678" s="974">
        <v>240</v>
      </c>
      <c r="L678" s="974">
        <v>0.9</v>
      </c>
      <c r="M678" s="974">
        <v>550</v>
      </c>
      <c r="N678" s="974">
        <v>200</v>
      </c>
      <c r="O678" s="974">
        <v>5.5</v>
      </c>
      <c r="P678" s="974">
        <v>0.2</v>
      </c>
      <c r="Q678" s="974">
        <v>0.96</v>
      </c>
      <c r="R678" s="974">
        <v>1.23</v>
      </c>
    </row>
    <row r="679" spans="1:18" x14ac:dyDescent="0.35">
      <c r="A679" s="974" t="s">
        <v>2336</v>
      </c>
      <c r="B679" s="974" t="s">
        <v>2352</v>
      </c>
      <c r="C679" s="974">
        <v>15</v>
      </c>
      <c r="D679" s="974">
        <v>-41</v>
      </c>
      <c r="E679" s="974">
        <v>-42</v>
      </c>
      <c r="F679" s="974">
        <v>20</v>
      </c>
      <c r="G679" s="974">
        <v>14</v>
      </c>
      <c r="H679" s="974">
        <v>10720</v>
      </c>
      <c r="I679" s="974">
        <v>5</v>
      </c>
      <c r="J679" s="974">
        <v>65</v>
      </c>
      <c r="K679" s="974">
        <v>150</v>
      </c>
      <c r="L679" s="974">
        <v>0.9</v>
      </c>
      <c r="M679" s="974">
        <v>280</v>
      </c>
      <c r="N679" s="974">
        <v>200</v>
      </c>
      <c r="O679" s="974">
        <v>3.8</v>
      </c>
      <c r="P679" s="974">
        <v>0.2</v>
      </c>
      <c r="Q679" s="974">
        <v>0.45</v>
      </c>
      <c r="R679" s="974">
        <v>0.57999999999999996</v>
      </c>
    </row>
  </sheetData>
  <autoFilter ref="A1:R679" xr:uid="{00000000-0009-0000-0000-000006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R9"/>
  <sheetViews>
    <sheetView zoomScaleNormal="100" workbookViewId="0">
      <pane ySplit="9" topLeftCell="A22" activePane="bottomLeft" state="frozen"/>
      <selection pane="bottomLeft" activeCell="B3" sqref="B3"/>
    </sheetView>
  </sheetViews>
  <sheetFormatPr defaultRowHeight="14.5" x14ac:dyDescent="0.35"/>
  <cols>
    <col min="1" max="1" width="22.453125" customWidth="1"/>
    <col min="2" max="2" width="27.26953125" customWidth="1"/>
    <col min="3" max="3" width="10.26953125" customWidth="1"/>
    <col min="4" max="4" width="14" customWidth="1"/>
    <col min="5" max="5" width="13.7265625" customWidth="1"/>
    <col min="6" max="6" width="21.1796875" customWidth="1"/>
    <col min="7" max="7" width="17.7265625" customWidth="1"/>
    <col min="8" max="8" width="17.81640625" customWidth="1"/>
    <col min="9" max="9" width="16.7265625" customWidth="1"/>
    <col min="10" max="10" width="15.81640625" customWidth="1"/>
    <col min="11" max="11" width="17.81640625" customWidth="1"/>
    <col min="12" max="12" width="16" customWidth="1"/>
    <col min="13" max="13" width="17.7265625" customWidth="1"/>
    <col min="14" max="14" width="18.26953125" customWidth="1"/>
    <col min="15" max="15" width="18.1796875" customWidth="1"/>
    <col min="16" max="16" width="21.1796875" customWidth="1"/>
    <col min="17" max="17" width="12.1796875" customWidth="1"/>
    <col min="18" max="18" width="21.26953125" customWidth="1"/>
  </cols>
  <sheetData>
    <row r="1" spans="1:18" ht="15" customHeight="1" thickBot="1" x14ac:dyDescent="0.4"/>
    <row r="2" spans="1:18" x14ac:dyDescent="0.35">
      <c r="A2" s="855" t="s">
        <v>402</v>
      </c>
      <c r="B2" s="854" t="s">
        <v>403</v>
      </c>
      <c r="D2" s="1146" t="s">
        <v>441</v>
      </c>
      <c r="E2" s="1147"/>
    </row>
    <row r="3" spans="1:18" ht="15" customHeight="1" thickBot="1" x14ac:dyDescent="0.4">
      <c r="A3" s="853" t="s">
        <v>404</v>
      </c>
      <c r="B3" s="851" t="s">
        <v>1805</v>
      </c>
      <c r="D3" s="1148" t="str">
        <f>SUBSTITUTE(SUBSTITUTE(SUBSTITUTE(B2," ","_"),"-","_"),"/","_")</f>
        <v>Alberta</v>
      </c>
      <c r="E3" s="1149"/>
    </row>
    <row r="4" spans="1:18" x14ac:dyDescent="0.35">
      <c r="A4" s="852" t="s">
        <v>442</v>
      </c>
      <c r="B4" s="851" t="str">
        <f>B2&amp;"|"&amp;B3</f>
        <v>Alberta|Fort McMurray</v>
      </c>
    </row>
    <row r="5" spans="1:18" x14ac:dyDescent="0.35">
      <c r="A5" s="852"/>
      <c r="B5" s="851"/>
    </row>
    <row r="6" spans="1:18" ht="15" customHeight="1" thickBot="1" x14ac:dyDescent="0.4">
      <c r="A6" s="850" t="s">
        <v>443</v>
      </c>
      <c r="B6" s="849"/>
    </row>
    <row r="7" spans="1:18" ht="15" customHeight="1" thickBot="1" x14ac:dyDescent="0.4"/>
    <row r="8" spans="1:18" ht="57" customHeight="1" thickBot="1" x14ac:dyDescent="0.4">
      <c r="A8" s="876" t="s">
        <v>444</v>
      </c>
      <c r="B8" s="877" t="s">
        <v>445</v>
      </c>
      <c r="C8" s="877" t="s">
        <v>446</v>
      </c>
      <c r="D8" s="877" t="s">
        <v>447</v>
      </c>
      <c r="E8" s="877" t="s">
        <v>448</v>
      </c>
      <c r="F8" s="877" t="s">
        <v>449</v>
      </c>
      <c r="G8" s="877" t="s">
        <v>450</v>
      </c>
      <c r="H8" s="877" t="s">
        <v>451</v>
      </c>
      <c r="I8" s="877" t="s">
        <v>452</v>
      </c>
      <c r="J8" s="877" t="s">
        <v>453</v>
      </c>
      <c r="K8" s="877" t="s">
        <v>454</v>
      </c>
      <c r="L8" s="877" t="s">
        <v>455</v>
      </c>
      <c r="M8" s="877" t="s">
        <v>456</v>
      </c>
      <c r="N8" s="877" t="s">
        <v>457</v>
      </c>
      <c r="O8" s="877" t="s">
        <v>458</v>
      </c>
      <c r="P8" s="877" t="s">
        <v>459</v>
      </c>
      <c r="Q8" s="877" t="s">
        <v>460</v>
      </c>
      <c r="R8" s="878" t="s">
        <v>461</v>
      </c>
    </row>
    <row r="9" spans="1:18" ht="41.25" customHeight="1" thickBot="1" x14ac:dyDescent="0.4">
      <c r="A9" s="879" t="str">
        <f t="array" ref="A9">_xlfn.XLOOKUP($B$4, CityKey, Data_Province, "")</f>
        <v>Alberta</v>
      </c>
      <c r="B9" s="880" t="str">
        <f t="array" ref="B9">_xlfn.XLOOKUP($B$4, CityKey, Data_Province_and_Location, "")</f>
        <v>Fort McMurray</v>
      </c>
      <c r="C9" s="880">
        <f t="array" ref="C9">_xlfn.XLOOKUP($B$4, CityKey, Data_Elev_m, "")</f>
        <v>255</v>
      </c>
      <c r="D9" s="880">
        <f t="array" ref="D9">_xlfn.XLOOKUP($B$4, CityKey, Data_Jan_2_5_C, "")</f>
        <v>-38</v>
      </c>
      <c r="E9" s="880">
        <f t="array" ref="E9">_xlfn.XLOOKUP($B$4, CityKey, Data_Jan_1_C, "")</f>
        <v>-40</v>
      </c>
      <c r="F9" s="880">
        <f t="array" ref="F9">_xlfn.XLOOKUP($B$4, CityKey, Data_Jul_2_5_Dry_C, "")</f>
        <v>28</v>
      </c>
      <c r="G9" s="880">
        <f t="array" ref="G9">_xlfn.XLOOKUP($B$4, CityKey, Data_Jul_2_5_Wet_C, "")</f>
        <v>19</v>
      </c>
      <c r="H9" s="880">
        <f t="array" ref="H9">_xlfn.XLOOKUP($B$4, CityKey, Data_Degree_Days_18_C, "")</f>
        <v>6250</v>
      </c>
      <c r="I9" s="880">
        <f t="array" ref="I9">_xlfn.XLOOKUP($B$4, CityKey, Data_15_min_Rain_mm, "")</f>
        <v>13</v>
      </c>
      <c r="J9" s="880">
        <f t="array" ref="J9">_xlfn.XLOOKUP($B$4, CityKey, Data_One_Day_Rain_1_50_mm, "")</f>
        <v>86</v>
      </c>
      <c r="K9" s="880">
        <f t="array" ref="K9">_xlfn.XLOOKUP($B$4, CityKey, Data_Annual_Rain_mm, "")</f>
        <v>340</v>
      </c>
      <c r="L9" s="880">
        <f t="array" ref="L9">_xlfn.XLOOKUP($B$4, CityKey, Data_Moist_Index, "")</f>
        <v>0.5</v>
      </c>
      <c r="M9" s="880">
        <f t="array" ref="M9">_xlfn.XLOOKUP($B$4, CityKey, Data_Ann_Total_Ppn_mm, "")</f>
        <v>460</v>
      </c>
      <c r="N9" s="880">
        <f t="array" ref="N9">_xlfn.XLOOKUP($B$4, CityKey, Data_Driving_Rain_Pressure_Pa_1_5, "")</f>
        <v>60</v>
      </c>
      <c r="O9" s="880">
        <f t="array" ref="O9">_xlfn.XLOOKUP($B$4, CityKey, Data_Snow_Ss_kPa_1_50, "")</f>
        <v>1.5</v>
      </c>
      <c r="P9" s="880">
        <f t="array" ref="P9">_xlfn.XLOOKUP($B$4, CityKey, Data_Snow_Sr_kPa_1_50, "")</f>
        <v>0.1</v>
      </c>
      <c r="Q9" s="880">
        <f t="array" ref="Q9">_xlfn.XLOOKUP($B$4, CityKey, Data_Hourly_Wind_kPa_1_10, "")</f>
        <v>0.28000000000000003</v>
      </c>
      <c r="R9" s="881">
        <f t="array" ref="R9">_xlfn.XLOOKUP($B$4, CityKey, Data_Hourly_Wind_kPa_1_50, "")</f>
        <v>0.35</v>
      </c>
    </row>
  </sheetData>
  <mergeCells count="2">
    <mergeCell ref="D2:E2"/>
    <mergeCell ref="D3:E3"/>
  </mergeCells>
  <dataValidations count="2">
    <dataValidation type="list" allowBlank="1" showInputMessage="1" showErrorMessage="1" sqref="B3" xr:uid="{00000000-0002-0000-0500-000000000000}">
      <formula1>INDIRECT("Cities_"&amp;D3)</formula1>
    </dataValidation>
    <dataValidation type="list" allowBlank="1" showInputMessage="1" showErrorMessage="1" sqref="B2" xr:uid="{00000000-0002-0000-0500-000001000000}">
      <formula1>Province_List</formula1>
    </dataValidation>
  </dataValidation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3"/>
  <sheetViews>
    <sheetView workbookViewId="0">
      <pane ySplit="1" topLeftCell="A2" activePane="bottomLeft" state="frozen"/>
      <selection pane="bottomLeft" activeCell="B3" sqref="B3"/>
    </sheetView>
  </sheetViews>
  <sheetFormatPr defaultRowHeight="14.5" x14ac:dyDescent="0.35"/>
  <cols>
    <col min="1" max="2" width="40.7265625" customWidth="1"/>
  </cols>
  <sheetData>
    <row r="1" spans="1:2" x14ac:dyDescent="0.35">
      <c r="A1" s="848" t="s">
        <v>2353</v>
      </c>
    </row>
    <row r="2" spans="1:2" x14ac:dyDescent="0.35">
      <c r="A2" s="847" t="s">
        <v>444</v>
      </c>
      <c r="B2" t="str">
        <f>'Look Up'!B2</f>
        <v>Alberta</v>
      </c>
    </row>
    <row r="3" spans="1:2" x14ac:dyDescent="0.35">
      <c r="A3" s="847" t="s">
        <v>2354</v>
      </c>
      <c r="B3" t="str">
        <f>'Look Up'!B3</f>
        <v>Fort McMurray</v>
      </c>
    </row>
    <row r="5" spans="1:2" x14ac:dyDescent="0.35">
      <c r="A5" s="847" t="s">
        <v>2355</v>
      </c>
      <c r="B5">
        <f>'Look Up'!Q9</f>
        <v>0.28000000000000003</v>
      </c>
    </row>
    <row r="6" spans="1:2" x14ac:dyDescent="0.35">
      <c r="A6" s="847" t="s">
        <v>2356</v>
      </c>
      <c r="B6">
        <f>'Look Up'!R9</f>
        <v>0.35</v>
      </c>
    </row>
    <row r="8" spans="1:2" x14ac:dyDescent="0.35">
      <c r="A8" s="847" t="s">
        <v>2357</v>
      </c>
      <c r="B8">
        <f>'Look Up'!O9</f>
        <v>1.5</v>
      </c>
    </row>
    <row r="9" spans="1:2" x14ac:dyDescent="0.35">
      <c r="A9" s="847" t="s">
        <v>2358</v>
      </c>
      <c r="B9">
        <f>'Look Up'!P9</f>
        <v>0.1</v>
      </c>
    </row>
    <row r="11" spans="1:2" x14ac:dyDescent="0.35">
      <c r="A11" s="848" t="s">
        <v>2359</v>
      </c>
    </row>
    <row r="12" spans="1:2" x14ac:dyDescent="0.35">
      <c r="A12" s="847" t="s">
        <v>2360</v>
      </c>
      <c r="B12">
        <v>1</v>
      </c>
    </row>
    <row r="13" spans="1:2" x14ac:dyDescent="0.35">
      <c r="A13" s="847" t="s">
        <v>2361</v>
      </c>
      <c r="B13">
        <v>0.8</v>
      </c>
    </row>
    <row r="14" spans="1:2" x14ac:dyDescent="0.35">
      <c r="A14" s="847" t="s">
        <v>2362</v>
      </c>
      <c r="B14">
        <v>1</v>
      </c>
    </row>
    <row r="15" spans="1:2" x14ac:dyDescent="0.35">
      <c r="A15" s="847" t="s">
        <v>2363</v>
      </c>
      <c r="B15">
        <v>1</v>
      </c>
    </row>
    <row r="16" spans="1:2" x14ac:dyDescent="0.35">
      <c r="A16" s="847" t="s">
        <v>2364</v>
      </c>
      <c r="B16">
        <v>1</v>
      </c>
    </row>
    <row r="18" spans="1:2" x14ac:dyDescent="0.35">
      <c r="A18" s="848" t="s">
        <v>2365</v>
      </c>
      <c r="B18">
        <f>B12*(B13*B14*B15*B8 + B9)</f>
        <v>1.3000000000000003</v>
      </c>
    </row>
    <row r="20" spans="1:2" x14ac:dyDescent="0.35">
      <c r="A20" s="847" t="s">
        <v>2366</v>
      </c>
      <c r="B20">
        <f>'Look Up'!I9</f>
        <v>13</v>
      </c>
    </row>
    <row r="21" spans="1:2" x14ac:dyDescent="0.35">
      <c r="A21" s="847" t="s">
        <v>2367</v>
      </c>
      <c r="B21">
        <f>B20/0.25</f>
        <v>52</v>
      </c>
    </row>
    <row r="23" spans="1:2" x14ac:dyDescent="0.35">
      <c r="A23" s="848" t="s">
        <v>2368</v>
      </c>
    </row>
    <row r="24" spans="1:2" x14ac:dyDescent="0.35">
      <c r="A24" s="847" t="s">
        <v>2369</v>
      </c>
    </row>
    <row r="25" spans="1:2" x14ac:dyDescent="0.35">
      <c r="A25" s="847" t="s">
        <v>500</v>
      </c>
      <c r="B25">
        <v>1</v>
      </c>
    </row>
    <row r="26" spans="1:2" x14ac:dyDescent="0.35">
      <c r="A26" s="847" t="s">
        <v>518</v>
      </c>
      <c r="B26">
        <v>1</v>
      </c>
    </row>
    <row r="27" spans="1:2" x14ac:dyDescent="0.35">
      <c r="A27" s="847" t="s">
        <v>570</v>
      </c>
      <c r="B27">
        <v>2</v>
      </c>
    </row>
    <row r="28" spans="1:2" x14ac:dyDescent="0.35">
      <c r="A28" s="847" t="s">
        <v>2370</v>
      </c>
      <c r="B28">
        <v>2.0499999999999998</v>
      </c>
    </row>
    <row r="29" spans="1:2" x14ac:dyDescent="0.35">
      <c r="A29" s="847" t="s">
        <v>2371</v>
      </c>
      <c r="B29">
        <v>0.77</v>
      </c>
    </row>
    <row r="30" spans="1:2" x14ac:dyDescent="0.35">
      <c r="A30" s="847" t="s">
        <v>2372</v>
      </c>
      <c r="B30">
        <v>0.31</v>
      </c>
    </row>
    <row r="32" spans="1:2" x14ac:dyDescent="0.35">
      <c r="A32" s="848" t="s">
        <v>2373</v>
      </c>
      <c r="B32">
        <f>B25*B5*B26*B27*B28</f>
        <v>1.1479999999999999</v>
      </c>
    </row>
    <row r="33" spans="1:2" x14ac:dyDescent="0.35">
      <c r="A33" s="848" t="s">
        <v>2374</v>
      </c>
      <c r="B33">
        <f>B32*B29*B30</f>
        <v>0.27402759999999998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M679"/>
  <sheetViews>
    <sheetView workbookViewId="0">
      <selection activeCell="A2" sqref="A2:A12"/>
    </sheetView>
  </sheetViews>
  <sheetFormatPr defaultRowHeight="14.5" x14ac:dyDescent="0.35"/>
  <cols>
    <col min="1" max="1" width="12.81640625" customWidth="1"/>
    <col min="2" max="2" width="16.36328125" customWidth="1"/>
    <col min="3" max="3" width="16.453125" customWidth="1"/>
    <col min="4" max="4" width="15.54296875" customWidth="1"/>
    <col min="5" max="5" width="17.90625" customWidth="1"/>
    <col min="6" max="6" width="14.36328125" customWidth="1"/>
    <col min="7" max="7" width="17.1796875" customWidth="1"/>
    <col min="8" max="8" width="16.7265625" customWidth="1"/>
    <col min="9" max="9" width="18.36328125" customWidth="1"/>
    <col min="10" max="10" width="16.08984375" customWidth="1"/>
    <col min="11" max="11" width="21.26953125" customWidth="1"/>
    <col min="12" max="12" width="22.6328125" customWidth="1"/>
    <col min="13" max="13" width="28.453125" customWidth="1"/>
  </cols>
  <sheetData>
    <row r="1" spans="1:13" x14ac:dyDescent="0.35">
      <c r="A1" s="848" t="s">
        <v>444</v>
      </c>
      <c r="B1" s="848" t="s">
        <v>1680</v>
      </c>
      <c r="C1" s="848" t="s">
        <v>403</v>
      </c>
      <c r="D1" s="848" t="s">
        <v>1839</v>
      </c>
      <c r="E1" s="848" t="s">
        <v>1871</v>
      </c>
      <c r="F1" s="848" t="s">
        <v>1896</v>
      </c>
      <c r="G1" s="848" t="s">
        <v>2123</v>
      </c>
      <c r="H1" s="848" t="s">
        <v>2261</v>
      </c>
      <c r="I1" s="848" t="s">
        <v>2287</v>
      </c>
      <c r="J1" s="848" t="s">
        <v>2309</v>
      </c>
      <c r="K1" s="848" t="s">
        <v>2319</v>
      </c>
      <c r="L1" s="848" t="s">
        <v>2336</v>
      </c>
      <c r="M1" s="848" t="s">
        <v>442</v>
      </c>
    </row>
    <row r="2" spans="1:13" x14ac:dyDescent="0.35">
      <c r="A2" s="847" t="s">
        <v>1680</v>
      </c>
      <c r="B2" s="847" t="s">
        <v>1681</v>
      </c>
      <c r="C2" s="847" t="s">
        <v>1786</v>
      </c>
      <c r="D2" s="847" t="s">
        <v>1840</v>
      </c>
      <c r="E2" s="847" t="s">
        <v>1872</v>
      </c>
      <c r="F2" s="847" t="s">
        <v>1897</v>
      </c>
      <c r="G2" s="847" t="s">
        <v>2124</v>
      </c>
      <c r="H2" s="847" t="s">
        <v>2262</v>
      </c>
      <c r="I2" s="847" t="s">
        <v>2292</v>
      </c>
      <c r="J2" s="847" t="s">
        <v>2310</v>
      </c>
      <c r="K2" s="847" t="s">
        <v>2322</v>
      </c>
      <c r="L2" s="847" t="s">
        <v>2337</v>
      </c>
      <c r="M2" s="847" t="s">
        <v>2375</v>
      </c>
    </row>
    <row r="3" spans="1:13" x14ac:dyDescent="0.35">
      <c r="A3" s="847" t="s">
        <v>403</v>
      </c>
      <c r="B3" s="847" t="s">
        <v>1682</v>
      </c>
      <c r="C3" s="847" t="s">
        <v>1787</v>
      </c>
      <c r="D3" s="847" t="s">
        <v>1841</v>
      </c>
      <c r="E3" s="847" t="s">
        <v>1873</v>
      </c>
      <c r="F3" s="847" t="s">
        <v>1898</v>
      </c>
      <c r="G3" s="847" t="s">
        <v>2125</v>
      </c>
      <c r="H3" s="847" t="s">
        <v>2263</v>
      </c>
      <c r="I3" s="847" t="s">
        <v>2293</v>
      </c>
      <c r="J3" s="847" t="s">
        <v>2311</v>
      </c>
      <c r="K3" s="847" t="s">
        <v>2323</v>
      </c>
      <c r="L3" s="847" t="s">
        <v>2338</v>
      </c>
      <c r="M3" s="847" t="s">
        <v>2376</v>
      </c>
    </row>
    <row r="4" spans="1:13" x14ac:dyDescent="0.35">
      <c r="A4" s="847" t="s">
        <v>1839</v>
      </c>
      <c r="B4" s="847" t="s">
        <v>1683</v>
      </c>
      <c r="C4" s="847" t="s">
        <v>1788</v>
      </c>
      <c r="D4" s="847" t="s">
        <v>1842</v>
      </c>
      <c r="E4" s="847" t="s">
        <v>1874</v>
      </c>
      <c r="F4" s="847" t="s">
        <v>1899</v>
      </c>
      <c r="G4" s="847" t="s">
        <v>2126</v>
      </c>
      <c r="H4" s="847" t="s">
        <v>2264</v>
      </c>
      <c r="I4" s="847" t="s">
        <v>2294</v>
      </c>
      <c r="J4" s="847" t="s">
        <v>2312</v>
      </c>
      <c r="K4" s="847" t="s">
        <v>2324</v>
      </c>
      <c r="L4" s="847" t="s">
        <v>2339</v>
      </c>
      <c r="M4" s="847" t="s">
        <v>2377</v>
      </c>
    </row>
    <row r="5" spans="1:13" x14ac:dyDescent="0.35">
      <c r="A5" s="847" t="s">
        <v>1871</v>
      </c>
      <c r="B5" s="847" t="s">
        <v>1684</v>
      </c>
      <c r="C5" s="847" t="s">
        <v>1789</v>
      </c>
      <c r="D5" s="847" t="s">
        <v>1843</v>
      </c>
      <c r="E5" s="847" t="s">
        <v>1875</v>
      </c>
      <c r="F5" s="847" t="s">
        <v>1900</v>
      </c>
      <c r="G5" s="847" t="s">
        <v>2198</v>
      </c>
      <c r="H5" s="847" t="s">
        <v>2265</v>
      </c>
      <c r="I5" s="847" t="s">
        <v>2295</v>
      </c>
      <c r="J5" s="847" t="s">
        <v>2313</v>
      </c>
      <c r="K5" s="847" t="s">
        <v>2325</v>
      </c>
      <c r="L5" s="847" t="s">
        <v>2341</v>
      </c>
      <c r="M5" s="847" t="s">
        <v>2378</v>
      </c>
    </row>
    <row r="6" spans="1:13" x14ac:dyDescent="0.35">
      <c r="A6" s="847" t="s">
        <v>1896</v>
      </c>
      <c r="B6" s="847" t="s">
        <v>1685</v>
      </c>
      <c r="C6" s="847" t="s">
        <v>1790</v>
      </c>
      <c r="D6" s="847" t="s">
        <v>1844</v>
      </c>
      <c r="E6" s="847" t="s">
        <v>1876</v>
      </c>
      <c r="F6" s="847" t="s">
        <v>1901</v>
      </c>
      <c r="G6" s="847" t="s">
        <v>2127</v>
      </c>
      <c r="H6" s="847" t="s">
        <v>2266</v>
      </c>
      <c r="I6" s="847" t="s">
        <v>2296</v>
      </c>
      <c r="J6" s="847" t="s">
        <v>2314</v>
      </c>
      <c r="K6" s="847" t="s">
        <v>2326</v>
      </c>
      <c r="L6" s="847" t="s">
        <v>2342</v>
      </c>
      <c r="M6" s="847" t="s">
        <v>2379</v>
      </c>
    </row>
    <row r="7" spans="1:13" x14ac:dyDescent="0.35">
      <c r="A7" s="847" t="s">
        <v>2123</v>
      </c>
      <c r="B7" s="847" t="s">
        <v>1686</v>
      </c>
      <c r="C7" s="847" t="s">
        <v>1769</v>
      </c>
      <c r="D7" s="847" t="s">
        <v>1845</v>
      </c>
      <c r="E7" s="847" t="s">
        <v>1877</v>
      </c>
      <c r="F7" s="847" t="s">
        <v>1902</v>
      </c>
      <c r="G7" s="847" t="s">
        <v>2128</v>
      </c>
      <c r="H7" s="847" t="s">
        <v>2267</v>
      </c>
      <c r="I7" s="847" t="s">
        <v>2288</v>
      </c>
      <c r="J7" s="847" t="s">
        <v>2315</v>
      </c>
      <c r="K7" s="847" t="s">
        <v>2327</v>
      </c>
      <c r="L7" s="847" t="s">
        <v>2343</v>
      </c>
      <c r="M7" s="847" t="s">
        <v>2380</v>
      </c>
    </row>
    <row r="8" spans="1:13" x14ac:dyDescent="0.35">
      <c r="A8" s="847" t="s">
        <v>2261</v>
      </c>
      <c r="B8" s="847" t="s">
        <v>1687</v>
      </c>
      <c r="C8" s="847" t="s">
        <v>438</v>
      </c>
      <c r="D8" s="847" t="s">
        <v>1846</v>
      </c>
      <c r="E8" s="847" t="s">
        <v>1878</v>
      </c>
      <c r="F8" s="847" t="s">
        <v>1903</v>
      </c>
      <c r="G8" s="847" t="s">
        <v>2129</v>
      </c>
      <c r="H8" s="847" t="s">
        <v>2268</v>
      </c>
      <c r="I8" s="847" t="s">
        <v>2298</v>
      </c>
      <c r="J8" s="847" t="s">
        <v>2316</v>
      </c>
      <c r="K8" s="847" t="s">
        <v>2328</v>
      </c>
      <c r="L8" s="847" t="s">
        <v>2344</v>
      </c>
      <c r="M8" s="847" t="s">
        <v>2381</v>
      </c>
    </row>
    <row r="9" spans="1:13" x14ac:dyDescent="0.35">
      <c r="A9" s="847" t="s">
        <v>2287</v>
      </c>
      <c r="B9" s="847" t="s">
        <v>1688</v>
      </c>
      <c r="C9" s="847" t="s">
        <v>1791</v>
      </c>
      <c r="D9" s="847" t="s">
        <v>1847</v>
      </c>
      <c r="E9" s="847" t="s">
        <v>1880</v>
      </c>
      <c r="F9" s="847" t="s">
        <v>1904</v>
      </c>
      <c r="G9" s="847" t="s">
        <v>2130</v>
      </c>
      <c r="H9" s="847" t="s">
        <v>2270</v>
      </c>
      <c r="I9" s="847" t="s">
        <v>2299</v>
      </c>
      <c r="J9" s="847" t="s">
        <v>2317</v>
      </c>
      <c r="K9" s="847" t="s">
        <v>2329</v>
      </c>
      <c r="L9" s="847" t="s">
        <v>2345</v>
      </c>
      <c r="M9" s="847" t="s">
        <v>2382</v>
      </c>
    </row>
    <row r="10" spans="1:13" x14ac:dyDescent="0.35">
      <c r="A10" s="847" t="s">
        <v>2309</v>
      </c>
      <c r="B10" s="847" t="s">
        <v>1689</v>
      </c>
      <c r="C10" s="847" t="s">
        <v>1792</v>
      </c>
      <c r="D10" s="847" t="s">
        <v>1848</v>
      </c>
      <c r="E10" s="847" t="s">
        <v>1881</v>
      </c>
      <c r="F10" s="847" t="s">
        <v>1905</v>
      </c>
      <c r="G10" s="847" t="s">
        <v>2245</v>
      </c>
      <c r="H10" s="847" t="s">
        <v>2271</v>
      </c>
      <c r="I10" s="847" t="s">
        <v>2300</v>
      </c>
      <c r="J10" s="847" t="s">
        <v>2318</v>
      </c>
      <c r="K10" s="847" t="s">
        <v>407</v>
      </c>
      <c r="L10" s="847" t="s">
        <v>2346</v>
      </c>
      <c r="M10" s="847" t="s">
        <v>2383</v>
      </c>
    </row>
    <row r="11" spans="1:13" x14ac:dyDescent="0.35">
      <c r="A11" s="847" t="s">
        <v>2319</v>
      </c>
      <c r="B11" s="847" t="s">
        <v>1690</v>
      </c>
      <c r="C11" s="847" t="s">
        <v>1793</v>
      </c>
      <c r="D11" s="847" t="s">
        <v>1849</v>
      </c>
      <c r="E11" s="847" t="s">
        <v>1882</v>
      </c>
      <c r="F11" s="847" t="s">
        <v>1906</v>
      </c>
      <c r="G11" s="847" t="s">
        <v>2178</v>
      </c>
      <c r="H11" s="847" t="s">
        <v>2272</v>
      </c>
      <c r="I11" s="847" t="s">
        <v>2251</v>
      </c>
      <c r="K11" s="847" t="s">
        <v>2330</v>
      </c>
      <c r="L11" s="847" t="s">
        <v>2347</v>
      </c>
      <c r="M11" s="847" t="s">
        <v>2384</v>
      </c>
    </row>
    <row r="12" spans="1:13" x14ac:dyDescent="0.35">
      <c r="A12" s="847" t="s">
        <v>2336</v>
      </c>
      <c r="B12" s="847" t="s">
        <v>1691</v>
      </c>
      <c r="C12" s="847" t="s">
        <v>1794</v>
      </c>
      <c r="D12" s="847" t="s">
        <v>1850</v>
      </c>
      <c r="E12" s="847" t="s">
        <v>1883</v>
      </c>
      <c r="F12" s="847" t="s">
        <v>1907</v>
      </c>
      <c r="G12" s="847" t="s">
        <v>2131</v>
      </c>
      <c r="H12" s="847" t="s">
        <v>2273</v>
      </c>
      <c r="I12" s="847" t="s">
        <v>2301</v>
      </c>
      <c r="K12" s="847" t="s">
        <v>2331</v>
      </c>
      <c r="L12" s="847" t="s">
        <v>2348</v>
      </c>
      <c r="M12" s="847" t="s">
        <v>2385</v>
      </c>
    </row>
    <row r="13" spans="1:13" x14ac:dyDescent="0.35">
      <c r="B13" s="847" t="s">
        <v>1692</v>
      </c>
      <c r="C13" s="847" t="s">
        <v>1795</v>
      </c>
      <c r="D13" s="847" t="s">
        <v>1851</v>
      </c>
      <c r="E13" s="847" t="s">
        <v>1885</v>
      </c>
      <c r="F13" s="847" t="s">
        <v>1908</v>
      </c>
      <c r="G13" s="847" t="s">
        <v>2132</v>
      </c>
      <c r="H13" s="847" t="s">
        <v>2274</v>
      </c>
      <c r="I13" s="847" t="s">
        <v>2302</v>
      </c>
      <c r="K13" s="847" t="s">
        <v>2332</v>
      </c>
      <c r="L13" s="847" t="s">
        <v>2349</v>
      </c>
      <c r="M13" s="847" t="s">
        <v>2386</v>
      </c>
    </row>
    <row r="14" spans="1:13" x14ac:dyDescent="0.35">
      <c r="B14" s="847" t="s">
        <v>1693</v>
      </c>
      <c r="C14" s="847" t="s">
        <v>1770</v>
      </c>
      <c r="D14" s="847" t="s">
        <v>1852</v>
      </c>
      <c r="E14" s="847" t="s">
        <v>1886</v>
      </c>
      <c r="F14" s="847" t="s">
        <v>1909</v>
      </c>
      <c r="G14" s="847" t="s">
        <v>2133</v>
      </c>
      <c r="H14" s="847" t="s">
        <v>2275</v>
      </c>
      <c r="I14" s="847" t="s">
        <v>2289</v>
      </c>
      <c r="K14" s="847" t="s">
        <v>2333</v>
      </c>
      <c r="L14" s="847" t="s">
        <v>2350</v>
      </c>
      <c r="M14" s="847" t="s">
        <v>2387</v>
      </c>
    </row>
    <row r="15" spans="1:13" x14ac:dyDescent="0.35">
      <c r="B15" s="847" t="s">
        <v>1694</v>
      </c>
      <c r="C15" s="847" t="s">
        <v>1796</v>
      </c>
      <c r="D15" s="847" t="s">
        <v>1853</v>
      </c>
      <c r="E15" s="847" t="s">
        <v>1887</v>
      </c>
      <c r="F15" s="847" t="s">
        <v>1910</v>
      </c>
      <c r="G15" s="847" t="s">
        <v>2134</v>
      </c>
      <c r="H15" s="847" t="s">
        <v>2276</v>
      </c>
      <c r="I15" s="847" t="s">
        <v>2303</v>
      </c>
      <c r="K15" s="847" t="s">
        <v>2334</v>
      </c>
      <c r="L15" s="847" t="s">
        <v>2351</v>
      </c>
      <c r="M15" s="847" t="s">
        <v>2388</v>
      </c>
    </row>
    <row r="16" spans="1:13" x14ac:dyDescent="0.35">
      <c r="B16" s="847" t="s">
        <v>1695</v>
      </c>
      <c r="C16" s="847" t="s">
        <v>1797</v>
      </c>
      <c r="D16" s="847" t="s">
        <v>1854</v>
      </c>
      <c r="E16" s="847" t="s">
        <v>1888</v>
      </c>
      <c r="F16" s="847" t="s">
        <v>1911</v>
      </c>
      <c r="G16" s="847" t="s">
        <v>2135</v>
      </c>
      <c r="H16" s="847" t="s">
        <v>2277</v>
      </c>
      <c r="I16" s="847" t="s">
        <v>2305</v>
      </c>
      <c r="K16" s="847" t="s">
        <v>2335</v>
      </c>
      <c r="L16" s="847" t="s">
        <v>2352</v>
      </c>
      <c r="M16" s="847" t="s">
        <v>2389</v>
      </c>
    </row>
    <row r="17" spans="2:13" x14ac:dyDescent="0.35">
      <c r="B17" s="847" t="s">
        <v>1696</v>
      </c>
      <c r="C17" s="847" t="s">
        <v>1798</v>
      </c>
      <c r="D17" s="847" t="s">
        <v>1855</v>
      </c>
      <c r="E17" s="847" t="s">
        <v>1889</v>
      </c>
      <c r="F17" s="847" t="s">
        <v>1912</v>
      </c>
      <c r="G17" s="847" t="s">
        <v>2136</v>
      </c>
      <c r="H17" s="847" t="s">
        <v>2278</v>
      </c>
      <c r="I17" s="847" t="s">
        <v>2304</v>
      </c>
      <c r="K17" s="847" t="s">
        <v>2390</v>
      </c>
      <c r="L17" s="847" t="s">
        <v>2340</v>
      </c>
      <c r="M17" s="847" t="s">
        <v>2391</v>
      </c>
    </row>
    <row r="18" spans="2:13" x14ac:dyDescent="0.35">
      <c r="B18" s="847" t="s">
        <v>1697</v>
      </c>
      <c r="C18" s="847" t="s">
        <v>1799</v>
      </c>
      <c r="D18" s="847" t="s">
        <v>1856</v>
      </c>
      <c r="E18" s="847" t="s">
        <v>1890</v>
      </c>
      <c r="F18" s="847" t="s">
        <v>1914</v>
      </c>
      <c r="G18" s="847" t="s">
        <v>2137</v>
      </c>
      <c r="H18" s="847" t="s">
        <v>2279</v>
      </c>
      <c r="I18" s="847" t="s">
        <v>2290</v>
      </c>
      <c r="K18" s="847" t="s">
        <v>2392</v>
      </c>
      <c r="M18" s="847" t="s">
        <v>2393</v>
      </c>
    </row>
    <row r="19" spans="2:13" x14ac:dyDescent="0.35">
      <c r="B19" s="847" t="s">
        <v>1698</v>
      </c>
      <c r="C19" s="847" t="s">
        <v>1800</v>
      </c>
      <c r="D19" s="847" t="s">
        <v>1857</v>
      </c>
      <c r="E19" s="847" t="s">
        <v>1891</v>
      </c>
      <c r="F19" s="847" t="s">
        <v>1915</v>
      </c>
      <c r="G19" s="847" t="s">
        <v>2247</v>
      </c>
      <c r="H19" s="847" t="s">
        <v>2280</v>
      </c>
      <c r="I19" s="847" t="s">
        <v>2291</v>
      </c>
      <c r="M19" s="847" t="s">
        <v>2394</v>
      </c>
    </row>
    <row r="20" spans="2:13" x14ac:dyDescent="0.35">
      <c r="B20" s="847" t="s">
        <v>1699</v>
      </c>
      <c r="C20" s="847" t="s">
        <v>1801</v>
      </c>
      <c r="D20" s="847" t="s">
        <v>1858</v>
      </c>
      <c r="E20" s="847" t="s">
        <v>1892</v>
      </c>
      <c r="F20" s="847" t="s">
        <v>1916</v>
      </c>
      <c r="G20" s="847" t="s">
        <v>2138</v>
      </c>
      <c r="H20" s="847" t="s">
        <v>2281</v>
      </c>
      <c r="I20" s="847" t="s">
        <v>2306</v>
      </c>
      <c r="M20" s="847" t="s">
        <v>2395</v>
      </c>
    </row>
    <row r="21" spans="2:13" x14ac:dyDescent="0.35">
      <c r="B21" s="847" t="s">
        <v>1700</v>
      </c>
      <c r="C21" s="847" t="s">
        <v>1803</v>
      </c>
      <c r="D21" s="847" t="s">
        <v>1859</v>
      </c>
      <c r="E21" s="847" t="s">
        <v>1893</v>
      </c>
      <c r="F21" s="847" t="s">
        <v>1917</v>
      </c>
      <c r="G21" s="847" t="s">
        <v>2139</v>
      </c>
      <c r="H21" s="847" t="s">
        <v>2282</v>
      </c>
      <c r="I21" s="847" t="s">
        <v>2307</v>
      </c>
      <c r="M21" s="847" t="s">
        <v>2396</v>
      </c>
    </row>
    <row r="22" spans="2:13" x14ac:dyDescent="0.35">
      <c r="B22" s="847" t="s">
        <v>1701</v>
      </c>
      <c r="C22" s="847" t="s">
        <v>1804</v>
      </c>
      <c r="D22" s="847" t="s">
        <v>1860</v>
      </c>
      <c r="E22" s="847" t="s">
        <v>1894</v>
      </c>
      <c r="F22" s="847" t="s">
        <v>1918</v>
      </c>
      <c r="G22" s="847" t="s">
        <v>2141</v>
      </c>
      <c r="H22" s="847" t="s">
        <v>2283</v>
      </c>
      <c r="I22" s="847" t="s">
        <v>2308</v>
      </c>
      <c r="M22" s="847" t="s">
        <v>2397</v>
      </c>
    </row>
    <row r="23" spans="2:13" x14ac:dyDescent="0.35">
      <c r="B23" s="847" t="s">
        <v>1702</v>
      </c>
      <c r="C23" s="847" t="s">
        <v>1707</v>
      </c>
      <c r="D23" s="847" t="s">
        <v>1861</v>
      </c>
      <c r="E23" s="847" t="s">
        <v>1895</v>
      </c>
      <c r="F23" s="847" t="s">
        <v>1919</v>
      </c>
      <c r="G23" s="847" t="s">
        <v>2142</v>
      </c>
      <c r="H23" s="847" t="s">
        <v>2284</v>
      </c>
      <c r="I23" s="847" t="s">
        <v>2297</v>
      </c>
      <c r="M23" s="847" t="s">
        <v>2398</v>
      </c>
    </row>
    <row r="24" spans="2:13" x14ac:dyDescent="0.35">
      <c r="B24" s="847" t="s">
        <v>1703</v>
      </c>
      <c r="C24" s="847" t="s">
        <v>405</v>
      </c>
      <c r="D24" s="847" t="s">
        <v>1862</v>
      </c>
      <c r="E24" s="847" t="s">
        <v>2399</v>
      </c>
      <c r="F24" s="847" t="s">
        <v>1920</v>
      </c>
      <c r="G24" s="847" t="s">
        <v>2143</v>
      </c>
      <c r="H24" s="847" t="s">
        <v>2285</v>
      </c>
      <c r="M24" s="847" t="s">
        <v>2400</v>
      </c>
    </row>
    <row r="25" spans="2:13" x14ac:dyDescent="0.35">
      <c r="B25" s="847" t="s">
        <v>1705</v>
      </c>
      <c r="C25" s="847" t="s">
        <v>1805</v>
      </c>
      <c r="D25" s="847" t="s">
        <v>1863</v>
      </c>
      <c r="E25" s="847" t="s">
        <v>2401</v>
      </c>
      <c r="F25" s="847" t="s">
        <v>1921</v>
      </c>
      <c r="G25" s="847" t="s">
        <v>2179</v>
      </c>
      <c r="H25" s="847" t="s">
        <v>2286</v>
      </c>
      <c r="M25" s="847" t="s">
        <v>2402</v>
      </c>
    </row>
    <row r="26" spans="2:13" x14ac:dyDescent="0.35">
      <c r="B26" s="847" t="s">
        <v>1706</v>
      </c>
      <c r="C26" s="847" t="s">
        <v>1708</v>
      </c>
      <c r="D26" s="847" t="s">
        <v>1864</v>
      </c>
      <c r="F26" s="847" t="s">
        <v>1922</v>
      </c>
      <c r="G26" s="847" t="s">
        <v>2144</v>
      </c>
      <c r="H26" s="847" t="s">
        <v>2269</v>
      </c>
      <c r="M26" s="847" t="s">
        <v>2403</v>
      </c>
    </row>
    <row r="27" spans="2:13" x14ac:dyDescent="0.35">
      <c r="B27" s="847" t="s">
        <v>1704</v>
      </c>
      <c r="C27" s="847" t="s">
        <v>1806</v>
      </c>
      <c r="D27" s="847" t="s">
        <v>1865</v>
      </c>
      <c r="F27" s="847" t="s">
        <v>1923</v>
      </c>
      <c r="G27" s="847" t="s">
        <v>2248</v>
      </c>
      <c r="M27" s="847" t="s">
        <v>2404</v>
      </c>
    </row>
    <row r="28" spans="2:13" x14ac:dyDescent="0.35">
      <c r="C28" s="847" t="s">
        <v>1709</v>
      </c>
      <c r="D28" s="847" t="s">
        <v>1866</v>
      </c>
      <c r="F28" s="847" t="s">
        <v>1924</v>
      </c>
      <c r="G28" s="847" t="s">
        <v>2146</v>
      </c>
      <c r="M28" s="847" t="s">
        <v>2405</v>
      </c>
    </row>
    <row r="29" spans="2:13" x14ac:dyDescent="0.35">
      <c r="C29" s="847" t="s">
        <v>1807</v>
      </c>
      <c r="D29" s="847" t="s">
        <v>1867</v>
      </c>
      <c r="F29" s="847" t="s">
        <v>1925</v>
      </c>
      <c r="G29" s="847" t="s">
        <v>2249</v>
      </c>
      <c r="M29" s="847" t="s">
        <v>2406</v>
      </c>
    </row>
    <row r="30" spans="2:13" x14ac:dyDescent="0.35">
      <c r="C30" s="847" t="s">
        <v>1710</v>
      </c>
      <c r="D30" s="847" t="s">
        <v>1868</v>
      </c>
      <c r="F30" s="847" t="s">
        <v>1926</v>
      </c>
      <c r="G30" s="847" t="s">
        <v>2250</v>
      </c>
      <c r="M30" s="847" t="s">
        <v>2407</v>
      </c>
    </row>
    <row r="31" spans="2:13" x14ac:dyDescent="0.35">
      <c r="C31" s="847" t="s">
        <v>1712</v>
      </c>
      <c r="D31" s="847" t="s">
        <v>1869</v>
      </c>
      <c r="F31" s="847" t="s">
        <v>1927</v>
      </c>
      <c r="G31" s="847" t="s">
        <v>2147</v>
      </c>
      <c r="M31" s="847" t="s">
        <v>2408</v>
      </c>
    </row>
    <row r="32" spans="2:13" x14ac:dyDescent="0.35">
      <c r="C32" s="847" t="s">
        <v>1711</v>
      </c>
      <c r="D32" s="847" t="s">
        <v>1870</v>
      </c>
      <c r="F32" s="847" t="s">
        <v>1928</v>
      </c>
      <c r="G32" s="847" t="s">
        <v>2148</v>
      </c>
      <c r="M32" s="847" t="s">
        <v>2409</v>
      </c>
    </row>
    <row r="33" spans="3:13" x14ac:dyDescent="0.35">
      <c r="C33" s="847" t="s">
        <v>1713</v>
      </c>
      <c r="F33" s="847" t="s">
        <v>1929</v>
      </c>
      <c r="G33" s="847" t="s">
        <v>2149</v>
      </c>
      <c r="M33" s="847" t="s">
        <v>2410</v>
      </c>
    </row>
    <row r="34" spans="3:13" x14ac:dyDescent="0.35">
      <c r="C34" s="847" t="s">
        <v>1808</v>
      </c>
      <c r="F34" s="847" t="s">
        <v>1930</v>
      </c>
      <c r="G34" s="847" t="s">
        <v>2150</v>
      </c>
      <c r="M34" s="847" t="s">
        <v>2411</v>
      </c>
    </row>
    <row r="35" spans="3:13" x14ac:dyDescent="0.35">
      <c r="C35" s="847" t="s">
        <v>1714</v>
      </c>
      <c r="F35" s="847" t="s">
        <v>1931</v>
      </c>
      <c r="G35" s="847" t="s">
        <v>2151</v>
      </c>
      <c r="M35" s="847" t="s">
        <v>2412</v>
      </c>
    </row>
    <row r="36" spans="3:13" x14ac:dyDescent="0.35">
      <c r="C36" s="847" t="s">
        <v>1809</v>
      </c>
      <c r="F36" s="847" t="s">
        <v>1932</v>
      </c>
      <c r="G36" s="847" t="s">
        <v>2251</v>
      </c>
      <c r="M36" s="847" t="s">
        <v>2413</v>
      </c>
    </row>
    <row r="37" spans="3:13" x14ac:dyDescent="0.35">
      <c r="C37" s="847" t="s">
        <v>1771</v>
      </c>
      <c r="F37" s="847" t="s">
        <v>1933</v>
      </c>
      <c r="G37" s="847" t="s">
        <v>2152</v>
      </c>
      <c r="M37" s="847" t="s">
        <v>2414</v>
      </c>
    </row>
    <row r="38" spans="3:13" x14ac:dyDescent="0.35">
      <c r="C38" s="847" t="s">
        <v>1810</v>
      </c>
      <c r="F38" s="847" t="s">
        <v>1934</v>
      </c>
      <c r="G38" s="847" t="s">
        <v>2153</v>
      </c>
      <c r="M38" s="847" t="s">
        <v>2415</v>
      </c>
    </row>
    <row r="39" spans="3:13" x14ac:dyDescent="0.35">
      <c r="C39" s="847" t="s">
        <v>1811</v>
      </c>
      <c r="F39" s="847" t="s">
        <v>1936</v>
      </c>
      <c r="G39" s="847" t="s">
        <v>2154</v>
      </c>
      <c r="M39" s="847" t="s">
        <v>2416</v>
      </c>
    </row>
    <row r="40" spans="3:13" x14ac:dyDescent="0.35">
      <c r="C40" s="847" t="s">
        <v>1812</v>
      </c>
      <c r="F40" s="847" t="s">
        <v>1937</v>
      </c>
      <c r="G40" s="847" t="s">
        <v>2155</v>
      </c>
      <c r="M40" s="847" t="s">
        <v>2417</v>
      </c>
    </row>
    <row r="41" spans="3:13" x14ac:dyDescent="0.35">
      <c r="C41" s="847" t="s">
        <v>1715</v>
      </c>
      <c r="F41" s="847" t="s">
        <v>1938</v>
      </c>
      <c r="G41" s="847" t="s">
        <v>2156</v>
      </c>
      <c r="M41" s="847" t="s">
        <v>2418</v>
      </c>
    </row>
    <row r="42" spans="3:13" x14ac:dyDescent="0.35">
      <c r="C42" s="847" t="s">
        <v>1813</v>
      </c>
      <c r="F42" s="847" t="s">
        <v>1939</v>
      </c>
      <c r="G42" s="847" t="s">
        <v>2157</v>
      </c>
      <c r="M42" s="847" t="s">
        <v>2419</v>
      </c>
    </row>
    <row r="43" spans="3:13" x14ac:dyDescent="0.35">
      <c r="C43" s="847" t="s">
        <v>1716</v>
      </c>
      <c r="F43" s="847" t="s">
        <v>1941</v>
      </c>
      <c r="G43" s="847" t="s">
        <v>2158</v>
      </c>
      <c r="M43" s="847" t="s">
        <v>2420</v>
      </c>
    </row>
    <row r="44" spans="3:13" x14ac:dyDescent="0.35">
      <c r="C44" s="847" t="s">
        <v>1717</v>
      </c>
      <c r="F44" s="847" t="s">
        <v>1942</v>
      </c>
      <c r="G44" s="847" t="s">
        <v>2159</v>
      </c>
      <c r="M44" s="847" t="s">
        <v>2421</v>
      </c>
    </row>
    <row r="45" spans="3:13" x14ac:dyDescent="0.35">
      <c r="C45" s="847" t="s">
        <v>1718</v>
      </c>
      <c r="F45" s="847" t="s">
        <v>1943</v>
      </c>
      <c r="G45" s="847" t="s">
        <v>2160</v>
      </c>
      <c r="M45" s="847" t="s">
        <v>2422</v>
      </c>
    </row>
    <row r="46" spans="3:13" x14ac:dyDescent="0.35">
      <c r="C46" s="847" t="s">
        <v>1814</v>
      </c>
      <c r="F46" s="847" t="s">
        <v>1944</v>
      </c>
      <c r="G46" s="847" t="s">
        <v>2163</v>
      </c>
      <c r="M46" s="847" t="s">
        <v>2423</v>
      </c>
    </row>
    <row r="47" spans="3:13" x14ac:dyDescent="0.35">
      <c r="C47" s="847" t="s">
        <v>1719</v>
      </c>
      <c r="F47" s="847" t="s">
        <v>1945</v>
      </c>
      <c r="G47" s="847" t="s">
        <v>2164</v>
      </c>
      <c r="M47" s="847" t="s">
        <v>2424</v>
      </c>
    </row>
    <row r="48" spans="3:13" x14ac:dyDescent="0.35">
      <c r="C48" s="847" t="s">
        <v>1720</v>
      </c>
      <c r="F48" s="847" t="s">
        <v>1946</v>
      </c>
      <c r="G48" s="847" t="s">
        <v>2165</v>
      </c>
      <c r="M48" s="847" t="s">
        <v>2425</v>
      </c>
    </row>
    <row r="49" spans="3:13" x14ac:dyDescent="0.35">
      <c r="C49" s="847" t="s">
        <v>1721</v>
      </c>
      <c r="F49" s="847" t="s">
        <v>1947</v>
      </c>
      <c r="G49" s="847" t="s">
        <v>2162</v>
      </c>
      <c r="M49" s="847" t="s">
        <v>2426</v>
      </c>
    </row>
    <row r="50" spans="3:13" x14ac:dyDescent="0.35">
      <c r="C50" s="847" t="s">
        <v>1722</v>
      </c>
      <c r="F50" s="847" t="s">
        <v>1948</v>
      </c>
      <c r="G50" s="847" t="s">
        <v>2161</v>
      </c>
      <c r="M50" s="847" t="s">
        <v>2427</v>
      </c>
    </row>
    <row r="51" spans="3:13" x14ac:dyDescent="0.35">
      <c r="C51" s="847" t="s">
        <v>1815</v>
      </c>
      <c r="F51" s="847" t="s">
        <v>1949</v>
      </c>
      <c r="G51" s="847" t="s">
        <v>2180</v>
      </c>
      <c r="M51" s="847" t="s">
        <v>2428</v>
      </c>
    </row>
    <row r="52" spans="3:13" x14ac:dyDescent="0.35">
      <c r="C52" s="847" t="s">
        <v>1816</v>
      </c>
      <c r="F52" s="847" t="s">
        <v>1950</v>
      </c>
      <c r="G52" s="847" t="s">
        <v>2166</v>
      </c>
      <c r="M52" s="847" t="s">
        <v>2429</v>
      </c>
    </row>
    <row r="53" spans="3:13" x14ac:dyDescent="0.35">
      <c r="C53" s="847" t="s">
        <v>1772</v>
      </c>
      <c r="F53" s="847" t="s">
        <v>1951</v>
      </c>
      <c r="G53" s="847" t="s">
        <v>2168</v>
      </c>
      <c r="M53" s="847" t="s">
        <v>2430</v>
      </c>
    </row>
    <row r="54" spans="3:13" x14ac:dyDescent="0.35">
      <c r="C54" s="847" t="s">
        <v>1723</v>
      </c>
      <c r="F54" s="847" t="s">
        <v>1952</v>
      </c>
      <c r="G54" s="847" t="s">
        <v>2169</v>
      </c>
      <c r="M54" s="847" t="s">
        <v>2431</v>
      </c>
    </row>
    <row r="55" spans="3:13" x14ac:dyDescent="0.35">
      <c r="C55" s="847" t="s">
        <v>1724</v>
      </c>
      <c r="F55" s="847" t="s">
        <v>1953</v>
      </c>
      <c r="G55" s="847" t="s">
        <v>2167</v>
      </c>
      <c r="M55" s="847" t="s">
        <v>2432</v>
      </c>
    </row>
    <row r="56" spans="3:13" x14ac:dyDescent="0.35">
      <c r="C56" s="847" t="s">
        <v>1773</v>
      </c>
      <c r="F56" s="847" t="s">
        <v>1954</v>
      </c>
      <c r="G56" s="847" t="s">
        <v>2199</v>
      </c>
      <c r="M56" s="847" t="s">
        <v>2433</v>
      </c>
    </row>
    <row r="57" spans="3:13" x14ac:dyDescent="0.35">
      <c r="C57" s="847" t="s">
        <v>1817</v>
      </c>
      <c r="F57" s="847" t="s">
        <v>1955</v>
      </c>
      <c r="G57" s="847" t="s">
        <v>2170</v>
      </c>
      <c r="M57" s="847" t="s">
        <v>2434</v>
      </c>
    </row>
    <row r="58" spans="3:13" x14ac:dyDescent="0.35">
      <c r="C58" s="847" t="s">
        <v>1726</v>
      </c>
      <c r="F58" s="847" t="s">
        <v>2099</v>
      </c>
      <c r="G58" s="847" t="s">
        <v>2171</v>
      </c>
      <c r="M58" s="847" t="s">
        <v>2435</v>
      </c>
    </row>
    <row r="59" spans="3:13" x14ac:dyDescent="0.35">
      <c r="C59" s="847" t="s">
        <v>1727</v>
      </c>
      <c r="F59" s="847" t="s">
        <v>1956</v>
      </c>
      <c r="G59" s="847" t="s">
        <v>2172</v>
      </c>
      <c r="M59" s="847" t="s">
        <v>2436</v>
      </c>
    </row>
    <row r="60" spans="3:13" x14ac:dyDescent="0.35">
      <c r="C60" s="847" t="s">
        <v>1818</v>
      </c>
      <c r="F60" s="847" t="s">
        <v>1957</v>
      </c>
      <c r="G60" s="847" t="s">
        <v>2173</v>
      </c>
      <c r="M60" s="847" t="s">
        <v>2437</v>
      </c>
    </row>
    <row r="61" spans="3:13" x14ac:dyDescent="0.35">
      <c r="C61" s="847" t="s">
        <v>1728</v>
      </c>
      <c r="F61" s="847" t="s">
        <v>1958</v>
      </c>
      <c r="G61" s="847" t="s">
        <v>2174</v>
      </c>
      <c r="M61" s="847" t="s">
        <v>2438</v>
      </c>
    </row>
    <row r="62" spans="3:13" x14ac:dyDescent="0.35">
      <c r="C62" s="847" t="s">
        <v>1729</v>
      </c>
      <c r="F62" s="847" t="s">
        <v>1959</v>
      </c>
      <c r="G62" s="847" t="s">
        <v>2252</v>
      </c>
      <c r="M62" s="847" t="s">
        <v>2439</v>
      </c>
    </row>
    <row r="63" spans="3:13" x14ac:dyDescent="0.35">
      <c r="C63" s="847" t="s">
        <v>1819</v>
      </c>
      <c r="F63" s="847" t="s">
        <v>1960</v>
      </c>
      <c r="G63" s="847" t="s">
        <v>2253</v>
      </c>
      <c r="M63" s="847" t="s">
        <v>2440</v>
      </c>
    </row>
    <row r="64" spans="3:13" x14ac:dyDescent="0.35">
      <c r="C64" s="847" t="s">
        <v>1731</v>
      </c>
      <c r="F64" s="847" t="s">
        <v>1961</v>
      </c>
      <c r="G64" s="847" t="s">
        <v>2175</v>
      </c>
      <c r="M64" s="847" t="s">
        <v>2441</v>
      </c>
    </row>
    <row r="65" spans="3:13" x14ac:dyDescent="0.35">
      <c r="C65" s="847" t="s">
        <v>1732</v>
      </c>
      <c r="F65" s="847" t="s">
        <v>1962</v>
      </c>
      <c r="G65" s="847" t="s">
        <v>2176</v>
      </c>
      <c r="M65" s="847" t="s">
        <v>2442</v>
      </c>
    </row>
    <row r="66" spans="3:13" x14ac:dyDescent="0.35">
      <c r="C66" s="847" t="s">
        <v>1733</v>
      </c>
      <c r="F66" s="847" t="s">
        <v>1963</v>
      </c>
      <c r="G66" s="847" t="s">
        <v>2177</v>
      </c>
      <c r="M66" s="847" t="s">
        <v>2443</v>
      </c>
    </row>
    <row r="67" spans="3:13" x14ac:dyDescent="0.35">
      <c r="C67" s="847" t="s">
        <v>1734</v>
      </c>
      <c r="F67" s="847" t="s">
        <v>1964</v>
      </c>
      <c r="G67" s="847" t="s">
        <v>2181</v>
      </c>
      <c r="M67" s="847" t="s">
        <v>2444</v>
      </c>
    </row>
    <row r="68" spans="3:13" x14ac:dyDescent="0.35">
      <c r="C68" s="847" t="s">
        <v>1735</v>
      </c>
      <c r="F68" s="847" t="s">
        <v>1965</v>
      </c>
      <c r="G68" s="847" t="s">
        <v>2182</v>
      </c>
      <c r="M68" s="847" t="s">
        <v>2445</v>
      </c>
    </row>
    <row r="69" spans="3:13" x14ac:dyDescent="0.35">
      <c r="C69" s="847" t="s">
        <v>1736</v>
      </c>
      <c r="F69" s="847" t="s">
        <v>1966</v>
      </c>
      <c r="G69" s="847" t="s">
        <v>2183</v>
      </c>
      <c r="M69" s="847" t="s">
        <v>2446</v>
      </c>
    </row>
    <row r="70" spans="3:13" x14ac:dyDescent="0.35">
      <c r="C70" s="847" t="s">
        <v>1774</v>
      </c>
      <c r="F70" s="847" t="s">
        <v>1967</v>
      </c>
      <c r="G70" s="847" t="s">
        <v>2190</v>
      </c>
      <c r="M70" s="847" t="s">
        <v>2447</v>
      </c>
    </row>
    <row r="71" spans="3:13" x14ac:dyDescent="0.35">
      <c r="C71" s="847" t="s">
        <v>1775</v>
      </c>
      <c r="F71" s="847" t="s">
        <v>1968</v>
      </c>
      <c r="G71" s="847" t="s">
        <v>2191</v>
      </c>
      <c r="M71" s="847" t="s">
        <v>2448</v>
      </c>
    </row>
    <row r="72" spans="3:13" x14ac:dyDescent="0.35">
      <c r="C72" s="847" t="s">
        <v>1737</v>
      </c>
      <c r="F72" s="847" t="s">
        <v>1969</v>
      </c>
      <c r="G72" s="847" t="s">
        <v>2192</v>
      </c>
      <c r="M72" s="847" t="s">
        <v>2449</v>
      </c>
    </row>
    <row r="73" spans="3:13" x14ac:dyDescent="0.35">
      <c r="C73" s="847" t="s">
        <v>1738</v>
      </c>
      <c r="F73" s="847" t="s">
        <v>1970</v>
      </c>
      <c r="G73" s="847" t="s">
        <v>2254</v>
      </c>
      <c r="M73" s="847" t="s">
        <v>2450</v>
      </c>
    </row>
    <row r="74" spans="3:13" x14ac:dyDescent="0.35">
      <c r="C74" s="847" t="s">
        <v>1739</v>
      </c>
      <c r="F74" s="847" t="s">
        <v>1971</v>
      </c>
      <c r="G74" s="847" t="s">
        <v>2184</v>
      </c>
      <c r="M74" s="847" t="s">
        <v>2451</v>
      </c>
    </row>
    <row r="75" spans="3:13" x14ac:dyDescent="0.35">
      <c r="C75" s="847" t="s">
        <v>1820</v>
      </c>
      <c r="F75" s="847" t="s">
        <v>1972</v>
      </c>
      <c r="G75" s="847" t="s">
        <v>2193</v>
      </c>
      <c r="M75" s="847" t="s">
        <v>2452</v>
      </c>
    </row>
    <row r="76" spans="3:13" x14ac:dyDescent="0.35">
      <c r="C76" s="847" t="s">
        <v>1821</v>
      </c>
      <c r="F76" s="847" t="s">
        <v>1973</v>
      </c>
      <c r="G76" s="847" t="s">
        <v>2185</v>
      </c>
      <c r="M76" s="847" t="s">
        <v>2453</v>
      </c>
    </row>
    <row r="77" spans="3:13" x14ac:dyDescent="0.35">
      <c r="C77" s="847" t="s">
        <v>1741</v>
      </c>
      <c r="F77" s="847" t="s">
        <v>1974</v>
      </c>
      <c r="G77" s="847" t="s">
        <v>2195</v>
      </c>
      <c r="M77" s="847" t="s">
        <v>2454</v>
      </c>
    </row>
    <row r="78" spans="3:13" x14ac:dyDescent="0.35">
      <c r="C78" s="847" t="s">
        <v>1742</v>
      </c>
      <c r="F78" s="847" t="s">
        <v>1975</v>
      </c>
      <c r="G78" s="847" t="s">
        <v>2196</v>
      </c>
      <c r="M78" s="847" t="s">
        <v>2455</v>
      </c>
    </row>
    <row r="79" spans="3:13" x14ac:dyDescent="0.35">
      <c r="C79" s="847" t="s">
        <v>1743</v>
      </c>
      <c r="F79" s="847" t="s">
        <v>1976</v>
      </c>
      <c r="G79" s="847" t="s">
        <v>2197</v>
      </c>
      <c r="M79" s="847" t="s">
        <v>2456</v>
      </c>
    </row>
    <row r="80" spans="3:13" x14ac:dyDescent="0.35">
      <c r="C80" s="847" t="s">
        <v>1744</v>
      </c>
      <c r="F80" s="847" t="s">
        <v>1977</v>
      </c>
      <c r="G80" s="847" t="s">
        <v>2200</v>
      </c>
      <c r="M80" s="847" t="s">
        <v>2457</v>
      </c>
    </row>
    <row r="81" spans="3:13" x14ac:dyDescent="0.35">
      <c r="C81" s="847" t="s">
        <v>1745</v>
      </c>
      <c r="F81" s="847" t="s">
        <v>1978</v>
      </c>
      <c r="G81" s="847" t="s">
        <v>1776</v>
      </c>
      <c r="M81" s="847" t="s">
        <v>2458</v>
      </c>
    </row>
    <row r="82" spans="3:13" x14ac:dyDescent="0.35">
      <c r="C82" s="847" t="s">
        <v>1746</v>
      </c>
      <c r="F82" s="847" t="s">
        <v>1979</v>
      </c>
      <c r="G82" s="847" t="s">
        <v>2203</v>
      </c>
      <c r="M82" s="847" t="s">
        <v>2459</v>
      </c>
    </row>
    <row r="83" spans="3:13" x14ac:dyDescent="0.35">
      <c r="C83" s="847" t="s">
        <v>1747</v>
      </c>
      <c r="F83" s="847" t="s">
        <v>1980</v>
      </c>
      <c r="G83" s="847" t="s">
        <v>2204</v>
      </c>
      <c r="M83" s="847" t="s">
        <v>2460</v>
      </c>
    </row>
    <row r="84" spans="3:13" x14ac:dyDescent="0.35">
      <c r="C84" s="847" t="s">
        <v>1748</v>
      </c>
      <c r="F84" s="847" t="s">
        <v>1981</v>
      </c>
      <c r="G84" s="847" t="s">
        <v>2205</v>
      </c>
      <c r="M84" s="847" t="s">
        <v>2461</v>
      </c>
    </row>
    <row r="85" spans="3:13" x14ac:dyDescent="0.35">
      <c r="C85" s="847" t="s">
        <v>1749</v>
      </c>
      <c r="F85" s="847" t="s">
        <v>1982</v>
      </c>
      <c r="G85" s="847" t="s">
        <v>2206</v>
      </c>
      <c r="M85" s="847" t="s">
        <v>2462</v>
      </c>
    </row>
    <row r="86" spans="3:13" x14ac:dyDescent="0.35">
      <c r="C86" s="847" t="s">
        <v>1750</v>
      </c>
      <c r="F86" s="847" t="s">
        <v>1983</v>
      </c>
      <c r="G86" s="847" t="s">
        <v>2207</v>
      </c>
      <c r="M86" s="847" t="s">
        <v>2463</v>
      </c>
    </row>
    <row r="87" spans="3:13" x14ac:dyDescent="0.35">
      <c r="C87" s="847" t="s">
        <v>1751</v>
      </c>
      <c r="F87" s="847" t="s">
        <v>1984</v>
      </c>
      <c r="G87" s="847" t="s">
        <v>2208</v>
      </c>
      <c r="M87" s="847" t="s">
        <v>2464</v>
      </c>
    </row>
    <row r="88" spans="3:13" x14ac:dyDescent="0.35">
      <c r="C88" s="847" t="s">
        <v>1752</v>
      </c>
      <c r="F88" s="847" t="s">
        <v>1985</v>
      </c>
      <c r="G88" s="847" t="s">
        <v>2255</v>
      </c>
      <c r="M88" s="847" t="s">
        <v>2465</v>
      </c>
    </row>
    <row r="89" spans="3:13" x14ac:dyDescent="0.35">
      <c r="C89" s="847" t="s">
        <v>1822</v>
      </c>
      <c r="F89" s="847" t="s">
        <v>1986</v>
      </c>
      <c r="G89" s="847" t="s">
        <v>2209</v>
      </c>
      <c r="M89" s="847" t="s">
        <v>2466</v>
      </c>
    </row>
    <row r="90" spans="3:13" x14ac:dyDescent="0.35">
      <c r="C90" s="847" t="s">
        <v>1753</v>
      </c>
      <c r="F90" s="847" t="s">
        <v>1987</v>
      </c>
      <c r="G90" s="847" t="s">
        <v>2210</v>
      </c>
      <c r="M90" s="847" t="s">
        <v>2467</v>
      </c>
    </row>
    <row r="91" spans="3:13" x14ac:dyDescent="0.35">
      <c r="C91" s="847" t="s">
        <v>1776</v>
      </c>
      <c r="F91" s="847" t="s">
        <v>1988</v>
      </c>
      <c r="G91" s="847" t="s">
        <v>2211</v>
      </c>
      <c r="M91" s="847" t="s">
        <v>2468</v>
      </c>
    </row>
    <row r="92" spans="3:13" x14ac:dyDescent="0.35">
      <c r="C92" s="847" t="s">
        <v>1824</v>
      </c>
      <c r="F92" s="847" t="s">
        <v>1989</v>
      </c>
      <c r="G92" s="847" t="s">
        <v>2212</v>
      </c>
      <c r="M92" s="847" t="s">
        <v>2469</v>
      </c>
    </row>
    <row r="93" spans="3:13" x14ac:dyDescent="0.35">
      <c r="C93" s="847" t="s">
        <v>1754</v>
      </c>
      <c r="F93" s="847" t="s">
        <v>1990</v>
      </c>
      <c r="G93" s="847" t="s">
        <v>2256</v>
      </c>
      <c r="M93" s="847" t="s">
        <v>2470</v>
      </c>
    </row>
    <row r="94" spans="3:13" x14ac:dyDescent="0.35">
      <c r="C94" s="847" t="s">
        <v>1755</v>
      </c>
      <c r="F94" s="847" t="s">
        <v>1991</v>
      </c>
      <c r="G94" s="847" t="s">
        <v>2257</v>
      </c>
      <c r="M94" s="847" t="s">
        <v>2471</v>
      </c>
    </row>
    <row r="95" spans="3:13" x14ac:dyDescent="0.35">
      <c r="C95" s="847" t="s">
        <v>1756</v>
      </c>
      <c r="F95" s="847" t="s">
        <v>1992</v>
      </c>
      <c r="G95" s="847" t="s">
        <v>2214</v>
      </c>
      <c r="M95" s="847" t="s">
        <v>2472</v>
      </c>
    </row>
    <row r="96" spans="3:13" x14ac:dyDescent="0.35">
      <c r="C96" s="847" t="s">
        <v>1757</v>
      </c>
      <c r="F96" s="847" t="s">
        <v>1993</v>
      </c>
      <c r="G96" s="847" t="s">
        <v>2215</v>
      </c>
      <c r="M96" s="847" t="s">
        <v>2473</v>
      </c>
    </row>
    <row r="97" spans="3:13" x14ac:dyDescent="0.35">
      <c r="C97" s="847" t="s">
        <v>1825</v>
      </c>
      <c r="F97" s="847" t="s">
        <v>1994</v>
      </c>
      <c r="G97" s="847" t="s">
        <v>2216</v>
      </c>
      <c r="M97" s="847" t="s">
        <v>2474</v>
      </c>
    </row>
    <row r="98" spans="3:13" x14ac:dyDescent="0.35">
      <c r="C98" s="847" t="s">
        <v>1759</v>
      </c>
      <c r="F98" s="847" t="s">
        <v>1995</v>
      </c>
      <c r="G98" s="847" t="s">
        <v>2217</v>
      </c>
      <c r="M98" s="847" t="s">
        <v>2475</v>
      </c>
    </row>
    <row r="99" spans="3:13" x14ac:dyDescent="0.35">
      <c r="C99" s="847" t="s">
        <v>1758</v>
      </c>
      <c r="F99" s="847" t="s">
        <v>1996</v>
      </c>
      <c r="G99" s="847" t="s">
        <v>2218</v>
      </c>
      <c r="M99" s="847" t="s">
        <v>2476</v>
      </c>
    </row>
    <row r="100" spans="3:13" x14ac:dyDescent="0.35">
      <c r="C100" s="847" t="s">
        <v>1760</v>
      </c>
      <c r="F100" s="847" t="s">
        <v>1998</v>
      </c>
      <c r="G100" s="847" t="s">
        <v>2219</v>
      </c>
      <c r="M100" s="847" t="s">
        <v>2476</v>
      </c>
    </row>
    <row r="101" spans="3:13" x14ac:dyDescent="0.35">
      <c r="C101" s="847" t="s">
        <v>1761</v>
      </c>
      <c r="F101" s="847" t="s">
        <v>1999</v>
      </c>
      <c r="G101" s="847" t="s">
        <v>2220</v>
      </c>
      <c r="M101" s="847" t="s">
        <v>2477</v>
      </c>
    </row>
    <row r="102" spans="3:13" x14ac:dyDescent="0.35">
      <c r="C102" s="847" t="s">
        <v>1826</v>
      </c>
      <c r="F102" s="847" t="s">
        <v>2000</v>
      </c>
      <c r="G102" s="847" t="s">
        <v>2222</v>
      </c>
      <c r="M102" s="847" t="s">
        <v>2478</v>
      </c>
    </row>
    <row r="103" spans="3:13" x14ac:dyDescent="0.35">
      <c r="C103" s="847" t="s">
        <v>1762</v>
      </c>
      <c r="F103" s="847" t="s">
        <v>2001</v>
      </c>
      <c r="G103" s="847" t="s">
        <v>2221</v>
      </c>
      <c r="M103" s="847" t="s">
        <v>2479</v>
      </c>
    </row>
    <row r="104" spans="3:13" x14ac:dyDescent="0.35">
      <c r="C104" s="847" t="s">
        <v>1827</v>
      </c>
      <c r="F104" s="847" t="s">
        <v>2002</v>
      </c>
      <c r="G104" s="847" t="s">
        <v>2187</v>
      </c>
      <c r="M104" s="847" t="s">
        <v>2479</v>
      </c>
    </row>
    <row r="105" spans="3:13" x14ac:dyDescent="0.35">
      <c r="C105" s="847" t="s">
        <v>1829</v>
      </c>
      <c r="F105" s="847" t="s">
        <v>2003</v>
      </c>
      <c r="G105" s="847" t="s">
        <v>2188</v>
      </c>
      <c r="M105" s="847" t="s">
        <v>2479</v>
      </c>
    </row>
    <row r="106" spans="3:13" x14ac:dyDescent="0.35">
      <c r="C106" s="847" t="s">
        <v>1763</v>
      </c>
      <c r="F106" s="847" t="s">
        <v>2004</v>
      </c>
      <c r="G106" s="847" t="s">
        <v>2223</v>
      </c>
      <c r="M106" s="847" t="s">
        <v>2480</v>
      </c>
    </row>
    <row r="107" spans="3:13" x14ac:dyDescent="0.35">
      <c r="C107" s="847" t="s">
        <v>1764</v>
      </c>
      <c r="F107" s="847" t="s">
        <v>2005</v>
      </c>
      <c r="G107" s="847" t="s">
        <v>2224</v>
      </c>
      <c r="M107" s="847" t="s">
        <v>2481</v>
      </c>
    </row>
    <row r="108" spans="3:13" x14ac:dyDescent="0.35">
      <c r="C108" s="847" t="s">
        <v>1765</v>
      </c>
      <c r="F108" s="847" t="s">
        <v>2006</v>
      </c>
      <c r="G108" s="847" t="s">
        <v>2213</v>
      </c>
      <c r="M108" s="847" t="s">
        <v>2482</v>
      </c>
    </row>
    <row r="109" spans="3:13" x14ac:dyDescent="0.35">
      <c r="C109" s="847" t="s">
        <v>1766</v>
      </c>
      <c r="F109" s="847" t="s">
        <v>2007</v>
      </c>
      <c r="G109" s="847" t="s">
        <v>2186</v>
      </c>
      <c r="M109" s="847" t="s">
        <v>2483</v>
      </c>
    </row>
    <row r="110" spans="3:13" x14ac:dyDescent="0.35">
      <c r="C110" s="847" t="s">
        <v>1767</v>
      </c>
      <c r="F110" s="847" t="s">
        <v>2008</v>
      </c>
      <c r="G110" s="847" t="s">
        <v>2225</v>
      </c>
      <c r="M110" s="847" t="s">
        <v>2484</v>
      </c>
    </row>
    <row r="111" spans="3:13" x14ac:dyDescent="0.35">
      <c r="C111" s="847" t="s">
        <v>1830</v>
      </c>
      <c r="F111" s="847" t="s">
        <v>2009</v>
      </c>
      <c r="G111" s="847" t="s">
        <v>2226</v>
      </c>
      <c r="M111" s="847" t="s">
        <v>2485</v>
      </c>
    </row>
    <row r="112" spans="3:13" x14ac:dyDescent="0.35">
      <c r="C112" s="847" t="s">
        <v>1768</v>
      </c>
      <c r="F112" s="847" t="s">
        <v>2010</v>
      </c>
      <c r="G112" s="847" t="s">
        <v>2227</v>
      </c>
      <c r="M112" s="847" t="s">
        <v>2486</v>
      </c>
    </row>
    <row r="113" spans="3:13" x14ac:dyDescent="0.35">
      <c r="C113" s="847" t="s">
        <v>1831</v>
      </c>
      <c r="F113" s="847" t="s">
        <v>2011</v>
      </c>
      <c r="G113" s="847" t="s">
        <v>2228</v>
      </c>
      <c r="M113" s="847" t="s">
        <v>2487</v>
      </c>
    </row>
    <row r="114" spans="3:13" x14ac:dyDescent="0.35">
      <c r="C114" s="847" t="s">
        <v>1778</v>
      </c>
      <c r="F114" s="847" t="s">
        <v>2012</v>
      </c>
      <c r="G114" s="847" t="s">
        <v>2229</v>
      </c>
      <c r="M114" s="847" t="s">
        <v>2488</v>
      </c>
    </row>
    <row r="115" spans="3:13" x14ac:dyDescent="0.35">
      <c r="C115" s="847" t="s">
        <v>1832</v>
      </c>
      <c r="F115" s="847" t="s">
        <v>2013</v>
      </c>
      <c r="G115" s="847" t="s">
        <v>2230</v>
      </c>
      <c r="M115" s="847" t="s">
        <v>2489</v>
      </c>
    </row>
    <row r="116" spans="3:13" x14ac:dyDescent="0.35">
      <c r="C116" s="847" t="s">
        <v>1833</v>
      </c>
      <c r="F116" s="847" t="s">
        <v>2014</v>
      </c>
      <c r="G116" s="847" t="s">
        <v>2258</v>
      </c>
      <c r="M116" s="847" t="s">
        <v>2490</v>
      </c>
    </row>
    <row r="117" spans="3:13" x14ac:dyDescent="0.35">
      <c r="C117" s="847" t="s">
        <v>1780</v>
      </c>
      <c r="F117" s="847" t="s">
        <v>2015</v>
      </c>
      <c r="G117" s="847" t="s">
        <v>2202</v>
      </c>
      <c r="M117" s="847" t="s">
        <v>2491</v>
      </c>
    </row>
    <row r="118" spans="3:13" x14ac:dyDescent="0.35">
      <c r="C118" s="847" t="s">
        <v>1781</v>
      </c>
      <c r="F118" s="847" t="s">
        <v>2016</v>
      </c>
      <c r="G118" s="847" t="s">
        <v>2231</v>
      </c>
      <c r="M118" s="847" t="s">
        <v>2492</v>
      </c>
    </row>
    <row r="119" spans="3:13" x14ac:dyDescent="0.35">
      <c r="C119" s="847" t="s">
        <v>1834</v>
      </c>
      <c r="F119" s="847" t="s">
        <v>2017</v>
      </c>
      <c r="G119" s="847" t="s">
        <v>2259</v>
      </c>
      <c r="M119" s="847" t="s">
        <v>2493</v>
      </c>
    </row>
    <row r="120" spans="3:13" x14ac:dyDescent="0.35">
      <c r="C120" s="847" t="s">
        <v>1835</v>
      </c>
      <c r="F120" s="847" t="s">
        <v>2018</v>
      </c>
      <c r="G120" s="847" t="s">
        <v>2260</v>
      </c>
      <c r="M120" s="847" t="s">
        <v>2494</v>
      </c>
    </row>
    <row r="121" spans="3:13" x14ac:dyDescent="0.35">
      <c r="C121" s="847" t="s">
        <v>1779</v>
      </c>
      <c r="F121" s="847" t="s">
        <v>2019</v>
      </c>
      <c r="G121" s="847" t="s">
        <v>2232</v>
      </c>
      <c r="M121" s="847" t="s">
        <v>2495</v>
      </c>
    </row>
    <row r="122" spans="3:13" x14ac:dyDescent="0.35">
      <c r="C122" s="847" t="s">
        <v>1836</v>
      </c>
      <c r="F122" s="847" t="s">
        <v>2020</v>
      </c>
      <c r="G122" s="847" t="s">
        <v>2233</v>
      </c>
      <c r="M122" s="847" t="s">
        <v>2496</v>
      </c>
    </row>
    <row r="123" spans="3:13" x14ac:dyDescent="0.35">
      <c r="C123" s="847" t="s">
        <v>1782</v>
      </c>
      <c r="F123" s="847" t="s">
        <v>2021</v>
      </c>
      <c r="G123" s="847" t="s">
        <v>2235</v>
      </c>
      <c r="M123" s="847" t="s">
        <v>2497</v>
      </c>
    </row>
    <row r="124" spans="3:13" x14ac:dyDescent="0.35">
      <c r="C124" s="847" t="s">
        <v>1783</v>
      </c>
      <c r="F124" s="847" t="s">
        <v>2022</v>
      </c>
      <c r="G124" s="847" t="s">
        <v>2236</v>
      </c>
      <c r="M124" s="847" t="s">
        <v>2498</v>
      </c>
    </row>
    <row r="125" spans="3:13" x14ac:dyDescent="0.35">
      <c r="C125" s="847" t="s">
        <v>1837</v>
      </c>
      <c r="F125" s="847" t="s">
        <v>2023</v>
      </c>
      <c r="G125" s="847" t="s">
        <v>2237</v>
      </c>
      <c r="M125" s="847" t="s">
        <v>2499</v>
      </c>
    </row>
    <row r="126" spans="3:13" x14ac:dyDescent="0.35">
      <c r="C126" s="847" t="s">
        <v>1784</v>
      </c>
      <c r="F126" s="847" t="s">
        <v>2024</v>
      </c>
      <c r="G126" s="847" t="s">
        <v>2238</v>
      </c>
      <c r="M126" s="847" t="s">
        <v>2500</v>
      </c>
    </row>
    <row r="127" spans="3:13" x14ac:dyDescent="0.35">
      <c r="C127" s="847" t="s">
        <v>1838</v>
      </c>
      <c r="F127" s="847" t="s">
        <v>2025</v>
      </c>
      <c r="G127" s="847" t="s">
        <v>2234</v>
      </c>
      <c r="M127" s="847" t="s">
        <v>2501</v>
      </c>
    </row>
    <row r="128" spans="3:13" x14ac:dyDescent="0.35">
      <c r="C128" s="847" t="s">
        <v>1785</v>
      </c>
      <c r="F128" s="847" t="s">
        <v>2027</v>
      </c>
      <c r="G128" s="847" t="s">
        <v>2239</v>
      </c>
      <c r="M128" s="847" t="s">
        <v>2502</v>
      </c>
    </row>
    <row r="129" spans="3:13" x14ac:dyDescent="0.35">
      <c r="C129" s="847" t="s">
        <v>1730</v>
      </c>
      <c r="F129" s="847" t="s">
        <v>2026</v>
      </c>
      <c r="G129" s="847" t="s">
        <v>2240</v>
      </c>
      <c r="M129" s="847" t="s">
        <v>2503</v>
      </c>
    </row>
    <row r="130" spans="3:13" x14ac:dyDescent="0.35">
      <c r="C130" s="847" t="s">
        <v>1828</v>
      </c>
      <c r="F130" s="847" t="s">
        <v>2028</v>
      </c>
      <c r="G130" s="847" t="s">
        <v>2241</v>
      </c>
      <c r="M130" s="847" t="s">
        <v>2504</v>
      </c>
    </row>
    <row r="131" spans="3:13" x14ac:dyDescent="0.35">
      <c r="C131" s="847" t="s">
        <v>1777</v>
      </c>
      <c r="F131" s="847" t="s">
        <v>2029</v>
      </c>
      <c r="G131" s="847" t="s">
        <v>2189</v>
      </c>
      <c r="M131" s="847" t="s">
        <v>2505</v>
      </c>
    </row>
    <row r="132" spans="3:13" x14ac:dyDescent="0.35">
      <c r="C132" s="847" t="s">
        <v>1802</v>
      </c>
      <c r="F132" s="847" t="s">
        <v>2030</v>
      </c>
      <c r="G132" s="847" t="s">
        <v>2242</v>
      </c>
      <c r="M132" s="847" t="s">
        <v>2506</v>
      </c>
    </row>
    <row r="133" spans="3:13" x14ac:dyDescent="0.35">
      <c r="C133" s="847" t="s">
        <v>1725</v>
      </c>
      <c r="F133" s="847" t="s">
        <v>2100</v>
      </c>
      <c r="G133" s="847" t="s">
        <v>2243</v>
      </c>
      <c r="M133" s="847" t="s">
        <v>2507</v>
      </c>
    </row>
    <row r="134" spans="3:13" x14ac:dyDescent="0.35">
      <c r="C134" s="847" t="s">
        <v>1823</v>
      </c>
      <c r="F134" s="847" t="s">
        <v>2031</v>
      </c>
      <c r="G134" s="847" t="s">
        <v>2246</v>
      </c>
      <c r="M134" s="847" t="s">
        <v>2508</v>
      </c>
    </row>
    <row r="135" spans="3:13" x14ac:dyDescent="0.35">
      <c r="C135" s="847" t="s">
        <v>1740</v>
      </c>
      <c r="F135" s="847" t="s">
        <v>2032</v>
      </c>
      <c r="G135" s="847" t="s">
        <v>2244</v>
      </c>
      <c r="M135" s="847" t="s">
        <v>2509</v>
      </c>
    </row>
    <row r="136" spans="3:13" x14ac:dyDescent="0.35">
      <c r="F136" s="847" t="s">
        <v>2033</v>
      </c>
      <c r="G136" s="847" t="s">
        <v>2110</v>
      </c>
      <c r="M136" s="847" t="s">
        <v>2510</v>
      </c>
    </row>
    <row r="137" spans="3:13" x14ac:dyDescent="0.35">
      <c r="F137" s="847" t="s">
        <v>2034</v>
      </c>
      <c r="G137" s="847" t="s">
        <v>2119</v>
      </c>
      <c r="M137" s="847" t="s">
        <v>2511</v>
      </c>
    </row>
    <row r="138" spans="3:13" x14ac:dyDescent="0.35">
      <c r="F138" s="847" t="s">
        <v>2035</v>
      </c>
      <c r="G138" s="847" t="s">
        <v>2121</v>
      </c>
      <c r="M138" s="847" t="s">
        <v>2512</v>
      </c>
    </row>
    <row r="139" spans="3:13" x14ac:dyDescent="0.35">
      <c r="F139" s="847" t="s">
        <v>2036</v>
      </c>
      <c r="G139" s="847" t="s">
        <v>2145</v>
      </c>
      <c r="M139" s="847" t="s">
        <v>2513</v>
      </c>
    </row>
    <row r="140" spans="3:13" x14ac:dyDescent="0.35">
      <c r="F140" s="847" t="s">
        <v>2037</v>
      </c>
      <c r="G140" s="847" t="s">
        <v>2514</v>
      </c>
      <c r="M140" s="847" t="s">
        <v>2515</v>
      </c>
    </row>
    <row r="141" spans="3:13" x14ac:dyDescent="0.35">
      <c r="F141" s="847" t="s">
        <v>2038</v>
      </c>
      <c r="G141" s="847" t="s">
        <v>2140</v>
      </c>
      <c r="M141" s="847" t="s">
        <v>2516</v>
      </c>
    </row>
    <row r="142" spans="3:13" x14ac:dyDescent="0.35">
      <c r="F142" s="847" t="s">
        <v>2039</v>
      </c>
      <c r="G142" s="847" t="s">
        <v>2201</v>
      </c>
      <c r="M142" s="847" t="s">
        <v>2517</v>
      </c>
    </row>
    <row r="143" spans="3:13" x14ac:dyDescent="0.35">
      <c r="F143" s="847" t="s">
        <v>2041</v>
      </c>
      <c r="M143" s="847" t="s">
        <v>2518</v>
      </c>
    </row>
    <row r="144" spans="3:13" x14ac:dyDescent="0.35">
      <c r="F144" s="847" t="s">
        <v>2042</v>
      </c>
      <c r="M144" s="847" t="s">
        <v>2519</v>
      </c>
    </row>
    <row r="145" spans="6:13" x14ac:dyDescent="0.35">
      <c r="F145" s="847" t="s">
        <v>2043</v>
      </c>
      <c r="M145" s="847" t="s">
        <v>2520</v>
      </c>
    </row>
    <row r="146" spans="6:13" x14ac:dyDescent="0.35">
      <c r="F146" s="847" t="s">
        <v>2044</v>
      </c>
      <c r="M146" s="847" t="s">
        <v>2521</v>
      </c>
    </row>
    <row r="147" spans="6:13" x14ac:dyDescent="0.35">
      <c r="F147" s="847" t="s">
        <v>2045</v>
      </c>
      <c r="M147" s="847" t="s">
        <v>2522</v>
      </c>
    </row>
    <row r="148" spans="6:13" x14ac:dyDescent="0.35">
      <c r="F148" s="847" t="s">
        <v>2046</v>
      </c>
      <c r="M148" s="847" t="s">
        <v>2523</v>
      </c>
    </row>
    <row r="149" spans="6:13" x14ac:dyDescent="0.35">
      <c r="F149" s="847" t="s">
        <v>2047</v>
      </c>
      <c r="M149" s="847" t="s">
        <v>2524</v>
      </c>
    </row>
    <row r="150" spans="6:13" x14ac:dyDescent="0.35">
      <c r="F150" s="847" t="s">
        <v>2048</v>
      </c>
      <c r="M150" s="847" t="s">
        <v>2525</v>
      </c>
    </row>
    <row r="151" spans="6:13" x14ac:dyDescent="0.35">
      <c r="F151" s="847" t="s">
        <v>2049</v>
      </c>
      <c r="M151" s="847" t="s">
        <v>2526</v>
      </c>
    </row>
    <row r="152" spans="6:13" x14ac:dyDescent="0.35">
      <c r="F152" s="847" t="s">
        <v>2050</v>
      </c>
      <c r="M152" s="847" t="s">
        <v>2527</v>
      </c>
    </row>
    <row r="153" spans="6:13" x14ac:dyDescent="0.35">
      <c r="F153" s="847" t="s">
        <v>2051</v>
      </c>
      <c r="M153" s="847" t="s">
        <v>2528</v>
      </c>
    </row>
    <row r="154" spans="6:13" x14ac:dyDescent="0.35">
      <c r="F154" s="847" t="s">
        <v>2052</v>
      </c>
      <c r="M154" s="847" t="s">
        <v>2529</v>
      </c>
    </row>
    <row r="155" spans="6:13" x14ac:dyDescent="0.35">
      <c r="F155" s="847" t="s">
        <v>2053</v>
      </c>
      <c r="M155" s="847" t="s">
        <v>2530</v>
      </c>
    </row>
    <row r="156" spans="6:13" x14ac:dyDescent="0.35">
      <c r="F156" s="847" t="s">
        <v>2054</v>
      </c>
      <c r="M156" s="847" t="s">
        <v>2531</v>
      </c>
    </row>
    <row r="157" spans="6:13" x14ac:dyDescent="0.35">
      <c r="F157" s="847" t="s">
        <v>2055</v>
      </c>
      <c r="M157" s="847" t="s">
        <v>2532</v>
      </c>
    </row>
    <row r="158" spans="6:13" x14ac:dyDescent="0.35">
      <c r="F158" s="847" t="s">
        <v>2056</v>
      </c>
      <c r="M158" s="847" t="s">
        <v>2533</v>
      </c>
    </row>
    <row r="159" spans="6:13" x14ac:dyDescent="0.35">
      <c r="F159" s="847" t="s">
        <v>2057</v>
      </c>
      <c r="M159" s="847" t="s">
        <v>2534</v>
      </c>
    </row>
    <row r="160" spans="6:13" x14ac:dyDescent="0.35">
      <c r="F160" s="847" t="s">
        <v>2058</v>
      </c>
      <c r="M160" s="847" t="s">
        <v>2535</v>
      </c>
    </row>
    <row r="161" spans="6:13" x14ac:dyDescent="0.35">
      <c r="F161" s="847" t="s">
        <v>2059</v>
      </c>
      <c r="M161" s="847" t="s">
        <v>2536</v>
      </c>
    </row>
    <row r="162" spans="6:13" x14ac:dyDescent="0.35">
      <c r="F162" s="847" t="s">
        <v>2060</v>
      </c>
      <c r="M162" s="847" t="s">
        <v>2537</v>
      </c>
    </row>
    <row r="163" spans="6:13" x14ac:dyDescent="0.35">
      <c r="F163" s="847" t="s">
        <v>2061</v>
      </c>
      <c r="M163" s="847" t="s">
        <v>2538</v>
      </c>
    </row>
    <row r="164" spans="6:13" x14ac:dyDescent="0.35">
      <c r="F164" s="847" t="s">
        <v>2062</v>
      </c>
      <c r="M164" s="847" t="s">
        <v>2539</v>
      </c>
    </row>
    <row r="165" spans="6:13" x14ac:dyDescent="0.35">
      <c r="F165" s="847" t="s">
        <v>2063</v>
      </c>
      <c r="M165" s="847" t="s">
        <v>2540</v>
      </c>
    </row>
    <row r="166" spans="6:13" x14ac:dyDescent="0.35">
      <c r="F166" s="847" t="s">
        <v>1749</v>
      </c>
      <c r="M166" s="847" t="s">
        <v>2541</v>
      </c>
    </row>
    <row r="167" spans="6:13" x14ac:dyDescent="0.35">
      <c r="F167" s="847" t="s">
        <v>2064</v>
      </c>
      <c r="M167" s="847" t="s">
        <v>2542</v>
      </c>
    </row>
    <row r="168" spans="6:13" x14ac:dyDescent="0.35">
      <c r="F168" s="847" t="s">
        <v>2065</v>
      </c>
      <c r="M168" s="847" t="s">
        <v>2543</v>
      </c>
    </row>
    <row r="169" spans="6:13" x14ac:dyDescent="0.35">
      <c r="F169" s="847" t="s">
        <v>2066</v>
      </c>
      <c r="M169" s="847" t="s">
        <v>2544</v>
      </c>
    </row>
    <row r="170" spans="6:13" x14ac:dyDescent="0.35">
      <c r="F170" s="847" t="s">
        <v>2067</v>
      </c>
      <c r="M170" s="847" t="s">
        <v>2545</v>
      </c>
    </row>
    <row r="171" spans="6:13" x14ac:dyDescent="0.35">
      <c r="F171" s="847" t="s">
        <v>2068</v>
      </c>
      <c r="M171" s="847" t="s">
        <v>2546</v>
      </c>
    </row>
    <row r="172" spans="6:13" x14ac:dyDescent="0.35">
      <c r="F172" s="847" t="s">
        <v>2069</v>
      </c>
      <c r="M172" s="847" t="s">
        <v>2547</v>
      </c>
    </row>
    <row r="173" spans="6:13" x14ac:dyDescent="0.35">
      <c r="F173" s="847" t="s">
        <v>2070</v>
      </c>
      <c r="M173" s="847" t="s">
        <v>2548</v>
      </c>
    </row>
    <row r="174" spans="6:13" x14ac:dyDescent="0.35">
      <c r="F174" s="847" t="s">
        <v>2071</v>
      </c>
      <c r="M174" s="847" t="s">
        <v>2549</v>
      </c>
    </row>
    <row r="175" spans="6:13" x14ac:dyDescent="0.35">
      <c r="F175" s="847" t="s">
        <v>2101</v>
      </c>
      <c r="M175" s="847" t="s">
        <v>2550</v>
      </c>
    </row>
    <row r="176" spans="6:13" x14ac:dyDescent="0.35">
      <c r="F176" s="847" t="s">
        <v>2072</v>
      </c>
      <c r="M176" s="847" t="s">
        <v>2551</v>
      </c>
    </row>
    <row r="177" spans="6:13" x14ac:dyDescent="0.35">
      <c r="F177" s="847" t="s">
        <v>2073</v>
      </c>
      <c r="M177" s="847" t="s">
        <v>2552</v>
      </c>
    </row>
    <row r="178" spans="6:13" x14ac:dyDescent="0.35">
      <c r="F178" s="847" t="s">
        <v>2074</v>
      </c>
      <c r="M178" s="847" t="s">
        <v>2553</v>
      </c>
    </row>
    <row r="179" spans="6:13" x14ac:dyDescent="0.35">
      <c r="F179" s="847" t="s">
        <v>2075</v>
      </c>
      <c r="M179" s="847" t="s">
        <v>2554</v>
      </c>
    </row>
    <row r="180" spans="6:13" x14ac:dyDescent="0.35">
      <c r="F180" s="847" t="s">
        <v>2076</v>
      </c>
      <c r="M180" s="847" t="s">
        <v>2555</v>
      </c>
    </row>
    <row r="181" spans="6:13" x14ac:dyDescent="0.35">
      <c r="F181" s="847" t="s">
        <v>2077</v>
      </c>
      <c r="M181" s="847" t="s">
        <v>2556</v>
      </c>
    </row>
    <row r="182" spans="6:13" x14ac:dyDescent="0.35">
      <c r="F182" s="847" t="s">
        <v>2078</v>
      </c>
      <c r="M182" s="847" t="s">
        <v>2557</v>
      </c>
    </row>
    <row r="183" spans="6:13" x14ac:dyDescent="0.35">
      <c r="F183" s="847" t="s">
        <v>2079</v>
      </c>
      <c r="M183" s="847" t="s">
        <v>2558</v>
      </c>
    </row>
    <row r="184" spans="6:13" x14ac:dyDescent="0.35">
      <c r="F184" s="847" t="s">
        <v>2081</v>
      </c>
      <c r="M184" s="847" t="s">
        <v>2559</v>
      </c>
    </row>
    <row r="185" spans="6:13" x14ac:dyDescent="0.35">
      <c r="F185" s="847" t="s">
        <v>2080</v>
      </c>
      <c r="M185" s="847" t="s">
        <v>2560</v>
      </c>
    </row>
    <row r="186" spans="6:13" x14ac:dyDescent="0.35">
      <c r="F186" s="847" t="s">
        <v>2082</v>
      </c>
      <c r="M186" s="847" t="s">
        <v>2561</v>
      </c>
    </row>
    <row r="187" spans="6:13" x14ac:dyDescent="0.35">
      <c r="F187" s="847" t="s">
        <v>2083</v>
      </c>
      <c r="M187" s="847" t="s">
        <v>2562</v>
      </c>
    </row>
    <row r="188" spans="6:13" x14ac:dyDescent="0.35">
      <c r="F188" s="847" t="s">
        <v>2084</v>
      </c>
      <c r="M188" s="847" t="s">
        <v>2563</v>
      </c>
    </row>
    <row r="189" spans="6:13" x14ac:dyDescent="0.35">
      <c r="F189" s="847" t="s">
        <v>2085</v>
      </c>
      <c r="M189" s="847" t="s">
        <v>2564</v>
      </c>
    </row>
    <row r="190" spans="6:13" x14ac:dyDescent="0.35">
      <c r="F190" s="847" t="s">
        <v>2086</v>
      </c>
      <c r="M190" s="847" t="s">
        <v>2565</v>
      </c>
    </row>
    <row r="191" spans="6:13" x14ac:dyDescent="0.35">
      <c r="F191" s="847" t="s">
        <v>2087</v>
      </c>
      <c r="M191" s="847" t="s">
        <v>2566</v>
      </c>
    </row>
    <row r="192" spans="6:13" x14ac:dyDescent="0.35">
      <c r="F192" s="847" t="s">
        <v>2088</v>
      </c>
      <c r="M192" s="847" t="s">
        <v>2567</v>
      </c>
    </row>
    <row r="193" spans="6:13" x14ac:dyDescent="0.35">
      <c r="F193" s="847" t="s">
        <v>2089</v>
      </c>
      <c r="M193" s="847" t="s">
        <v>2568</v>
      </c>
    </row>
    <row r="194" spans="6:13" x14ac:dyDescent="0.35">
      <c r="F194" s="847" t="s">
        <v>2090</v>
      </c>
      <c r="M194" s="847" t="s">
        <v>2569</v>
      </c>
    </row>
    <row r="195" spans="6:13" x14ac:dyDescent="0.35">
      <c r="F195" s="847" t="s">
        <v>2091</v>
      </c>
      <c r="M195" s="847" t="s">
        <v>2570</v>
      </c>
    </row>
    <row r="196" spans="6:13" x14ac:dyDescent="0.35">
      <c r="F196" s="847" t="s">
        <v>2092</v>
      </c>
      <c r="M196" s="847" t="s">
        <v>2571</v>
      </c>
    </row>
    <row r="197" spans="6:13" x14ac:dyDescent="0.35">
      <c r="F197" s="847" t="s">
        <v>2093</v>
      </c>
      <c r="M197" s="847" t="s">
        <v>2572</v>
      </c>
    </row>
    <row r="198" spans="6:13" x14ac:dyDescent="0.35">
      <c r="F198" s="847" t="s">
        <v>2094</v>
      </c>
      <c r="M198" s="847" t="s">
        <v>2573</v>
      </c>
    </row>
    <row r="199" spans="6:13" x14ac:dyDescent="0.35">
      <c r="F199" s="847" t="s">
        <v>2096</v>
      </c>
      <c r="M199" s="847" t="s">
        <v>2574</v>
      </c>
    </row>
    <row r="200" spans="6:13" x14ac:dyDescent="0.35">
      <c r="F200" s="847" t="s">
        <v>2097</v>
      </c>
      <c r="M200" s="847" t="s">
        <v>2575</v>
      </c>
    </row>
    <row r="201" spans="6:13" x14ac:dyDescent="0.35">
      <c r="F201" s="847" t="s">
        <v>2098</v>
      </c>
      <c r="M201" s="847" t="s">
        <v>2576</v>
      </c>
    </row>
    <row r="202" spans="6:13" x14ac:dyDescent="0.35">
      <c r="F202" s="847" t="s">
        <v>2102</v>
      </c>
      <c r="M202" s="847" t="s">
        <v>2577</v>
      </c>
    </row>
    <row r="203" spans="6:13" x14ac:dyDescent="0.35">
      <c r="F203" s="847" t="s">
        <v>2103</v>
      </c>
      <c r="M203" s="847" t="s">
        <v>2578</v>
      </c>
    </row>
    <row r="204" spans="6:13" x14ac:dyDescent="0.35">
      <c r="F204" s="847" t="s">
        <v>2104</v>
      </c>
      <c r="M204" s="847" t="s">
        <v>2579</v>
      </c>
    </row>
    <row r="205" spans="6:13" x14ac:dyDescent="0.35">
      <c r="F205" s="847" t="s">
        <v>2105</v>
      </c>
      <c r="M205" s="847" t="s">
        <v>2580</v>
      </c>
    </row>
    <row r="206" spans="6:13" x14ac:dyDescent="0.35">
      <c r="F206" s="847" t="s">
        <v>2106</v>
      </c>
      <c r="M206" s="847" t="s">
        <v>2581</v>
      </c>
    </row>
    <row r="207" spans="6:13" x14ac:dyDescent="0.35">
      <c r="F207" s="847" t="s">
        <v>2107</v>
      </c>
      <c r="M207" s="847" t="s">
        <v>2582</v>
      </c>
    </row>
    <row r="208" spans="6:13" x14ac:dyDescent="0.35">
      <c r="F208" s="847" t="s">
        <v>2095</v>
      </c>
      <c r="M208" s="847" t="s">
        <v>2583</v>
      </c>
    </row>
    <row r="209" spans="6:13" x14ac:dyDescent="0.35">
      <c r="F209" s="847" t="s">
        <v>2108</v>
      </c>
      <c r="M209" s="847" t="s">
        <v>2584</v>
      </c>
    </row>
    <row r="210" spans="6:13" x14ac:dyDescent="0.35">
      <c r="F210" s="847" t="s">
        <v>2109</v>
      </c>
      <c r="M210" s="847" t="s">
        <v>2585</v>
      </c>
    </row>
    <row r="211" spans="6:13" x14ac:dyDescent="0.35">
      <c r="F211" s="847" t="s">
        <v>2110</v>
      </c>
      <c r="M211" s="847" t="s">
        <v>2586</v>
      </c>
    </row>
    <row r="212" spans="6:13" x14ac:dyDescent="0.35">
      <c r="F212" s="847" t="s">
        <v>2111</v>
      </c>
      <c r="M212" s="847" t="s">
        <v>2587</v>
      </c>
    </row>
    <row r="213" spans="6:13" x14ac:dyDescent="0.35">
      <c r="F213" s="847" t="s">
        <v>2112</v>
      </c>
      <c r="M213" s="847" t="s">
        <v>2588</v>
      </c>
    </row>
    <row r="214" spans="6:13" x14ac:dyDescent="0.35">
      <c r="F214" s="847" t="s">
        <v>2113</v>
      </c>
      <c r="M214" s="847" t="s">
        <v>2589</v>
      </c>
    </row>
    <row r="215" spans="6:13" x14ac:dyDescent="0.35">
      <c r="F215" s="847" t="s">
        <v>2114</v>
      </c>
      <c r="M215" s="847" t="s">
        <v>2590</v>
      </c>
    </row>
    <row r="216" spans="6:13" x14ac:dyDescent="0.35">
      <c r="F216" s="847" t="s">
        <v>2115</v>
      </c>
      <c r="M216" s="847" t="s">
        <v>2591</v>
      </c>
    </row>
    <row r="217" spans="6:13" x14ac:dyDescent="0.35">
      <c r="F217" s="847" t="s">
        <v>2116</v>
      </c>
      <c r="M217" s="847" t="s">
        <v>2592</v>
      </c>
    </row>
    <row r="218" spans="6:13" x14ac:dyDescent="0.35">
      <c r="F218" s="847" t="s">
        <v>2117</v>
      </c>
      <c r="M218" s="847" t="s">
        <v>2593</v>
      </c>
    </row>
    <row r="219" spans="6:13" x14ac:dyDescent="0.35">
      <c r="F219" s="847" t="s">
        <v>2118</v>
      </c>
      <c r="M219" s="847" t="s">
        <v>2594</v>
      </c>
    </row>
    <row r="220" spans="6:13" x14ac:dyDescent="0.35">
      <c r="F220" s="847" t="s">
        <v>2119</v>
      </c>
      <c r="M220" s="847" t="s">
        <v>2595</v>
      </c>
    </row>
    <row r="221" spans="6:13" x14ac:dyDescent="0.35">
      <c r="F221" s="847" t="s">
        <v>2120</v>
      </c>
      <c r="M221" s="847" t="s">
        <v>2596</v>
      </c>
    </row>
    <row r="222" spans="6:13" x14ac:dyDescent="0.35">
      <c r="F222" s="847" t="s">
        <v>2121</v>
      </c>
      <c r="M222" s="847" t="s">
        <v>2597</v>
      </c>
    </row>
    <row r="223" spans="6:13" x14ac:dyDescent="0.35">
      <c r="F223" s="847" t="s">
        <v>2122</v>
      </c>
      <c r="M223" s="847" t="s">
        <v>2598</v>
      </c>
    </row>
    <row r="224" spans="6:13" x14ac:dyDescent="0.35">
      <c r="F224" s="847" t="s">
        <v>1940</v>
      </c>
      <c r="M224" s="847" t="s">
        <v>2599</v>
      </c>
    </row>
    <row r="225" spans="6:13" x14ac:dyDescent="0.35">
      <c r="F225" s="847" t="s">
        <v>2040</v>
      </c>
      <c r="M225" s="847" t="s">
        <v>2600</v>
      </c>
    </row>
    <row r="226" spans="6:13" x14ac:dyDescent="0.35">
      <c r="F226" s="847" t="s">
        <v>2601</v>
      </c>
      <c r="M226" s="847" t="s">
        <v>2602</v>
      </c>
    </row>
    <row r="227" spans="6:13" x14ac:dyDescent="0.35">
      <c r="F227" s="847" t="s">
        <v>1997</v>
      </c>
      <c r="M227" s="847" t="s">
        <v>2603</v>
      </c>
    </row>
    <row r="228" spans="6:13" x14ac:dyDescent="0.35">
      <c r="F228" s="847" t="s">
        <v>2604</v>
      </c>
      <c r="M228" s="847" t="s">
        <v>2605</v>
      </c>
    </row>
    <row r="229" spans="6:13" x14ac:dyDescent="0.35">
      <c r="M229" s="847" t="s">
        <v>2606</v>
      </c>
    </row>
    <row r="230" spans="6:13" x14ac:dyDescent="0.35">
      <c r="M230" s="847" t="s">
        <v>2607</v>
      </c>
    </row>
    <row r="231" spans="6:13" x14ac:dyDescent="0.35">
      <c r="M231" s="847" t="s">
        <v>2608</v>
      </c>
    </row>
    <row r="232" spans="6:13" x14ac:dyDescent="0.35">
      <c r="M232" s="847" t="s">
        <v>2609</v>
      </c>
    </row>
    <row r="233" spans="6:13" x14ac:dyDescent="0.35">
      <c r="M233" s="847" t="s">
        <v>2610</v>
      </c>
    </row>
    <row r="234" spans="6:13" x14ac:dyDescent="0.35">
      <c r="M234" s="847" t="s">
        <v>2611</v>
      </c>
    </row>
    <row r="235" spans="6:13" x14ac:dyDescent="0.35">
      <c r="M235" s="847" t="s">
        <v>2612</v>
      </c>
    </row>
    <row r="236" spans="6:13" x14ac:dyDescent="0.35">
      <c r="M236" s="847" t="s">
        <v>2613</v>
      </c>
    </row>
    <row r="237" spans="6:13" x14ac:dyDescent="0.35">
      <c r="M237" s="847" t="s">
        <v>2614</v>
      </c>
    </row>
    <row r="238" spans="6:13" x14ac:dyDescent="0.35">
      <c r="M238" s="847" t="s">
        <v>2615</v>
      </c>
    </row>
    <row r="239" spans="6:13" x14ac:dyDescent="0.35">
      <c r="M239" s="847" t="s">
        <v>2616</v>
      </c>
    </row>
    <row r="240" spans="6:13" x14ac:dyDescent="0.35">
      <c r="M240" s="847" t="s">
        <v>2617</v>
      </c>
    </row>
    <row r="241" spans="13:13" x14ac:dyDescent="0.35">
      <c r="M241" s="847" t="s">
        <v>2618</v>
      </c>
    </row>
    <row r="242" spans="13:13" x14ac:dyDescent="0.35">
      <c r="M242" s="847" t="s">
        <v>2619</v>
      </c>
    </row>
    <row r="243" spans="13:13" x14ac:dyDescent="0.35">
      <c r="M243" s="847" t="s">
        <v>2620</v>
      </c>
    </row>
    <row r="244" spans="13:13" x14ac:dyDescent="0.35">
      <c r="M244" s="847" t="s">
        <v>2621</v>
      </c>
    </row>
    <row r="245" spans="13:13" x14ac:dyDescent="0.35">
      <c r="M245" s="847" t="s">
        <v>2622</v>
      </c>
    </row>
    <row r="246" spans="13:13" x14ac:dyDescent="0.35">
      <c r="M246" s="847" t="s">
        <v>2623</v>
      </c>
    </row>
    <row r="247" spans="13:13" x14ac:dyDescent="0.35">
      <c r="M247" s="847" t="s">
        <v>2624</v>
      </c>
    </row>
    <row r="248" spans="13:13" x14ac:dyDescent="0.35">
      <c r="M248" s="847" t="s">
        <v>2625</v>
      </c>
    </row>
    <row r="249" spans="13:13" x14ac:dyDescent="0.35">
      <c r="M249" s="847" t="s">
        <v>2626</v>
      </c>
    </row>
    <row r="250" spans="13:13" x14ac:dyDescent="0.35">
      <c r="M250" s="847" t="s">
        <v>2627</v>
      </c>
    </row>
    <row r="251" spans="13:13" x14ac:dyDescent="0.35">
      <c r="M251" s="847" t="s">
        <v>2628</v>
      </c>
    </row>
    <row r="252" spans="13:13" x14ac:dyDescent="0.35">
      <c r="M252" s="847" t="s">
        <v>2629</v>
      </c>
    </row>
    <row r="253" spans="13:13" x14ac:dyDescent="0.35">
      <c r="M253" s="847" t="s">
        <v>2630</v>
      </c>
    </row>
    <row r="254" spans="13:13" x14ac:dyDescent="0.35">
      <c r="M254" s="847" t="s">
        <v>2631</v>
      </c>
    </row>
    <row r="255" spans="13:13" x14ac:dyDescent="0.35">
      <c r="M255" s="847" t="s">
        <v>2632</v>
      </c>
    </row>
    <row r="256" spans="13:13" x14ac:dyDescent="0.35">
      <c r="M256" s="847" t="s">
        <v>2633</v>
      </c>
    </row>
    <row r="257" spans="13:13" x14ac:dyDescent="0.35">
      <c r="M257" s="847" t="s">
        <v>2634</v>
      </c>
    </row>
    <row r="258" spans="13:13" x14ac:dyDescent="0.35">
      <c r="M258" s="847" t="s">
        <v>2635</v>
      </c>
    </row>
    <row r="259" spans="13:13" x14ac:dyDescent="0.35">
      <c r="M259" s="847" t="s">
        <v>2636</v>
      </c>
    </row>
    <row r="260" spans="13:13" x14ac:dyDescent="0.35">
      <c r="M260" s="847" t="s">
        <v>2637</v>
      </c>
    </row>
    <row r="261" spans="13:13" x14ac:dyDescent="0.35">
      <c r="M261" s="847" t="s">
        <v>2638</v>
      </c>
    </row>
    <row r="262" spans="13:13" x14ac:dyDescent="0.35">
      <c r="M262" s="847" t="s">
        <v>2639</v>
      </c>
    </row>
    <row r="263" spans="13:13" x14ac:dyDescent="0.35">
      <c r="M263" s="847" t="s">
        <v>2640</v>
      </c>
    </row>
    <row r="264" spans="13:13" x14ac:dyDescent="0.35">
      <c r="M264" s="847" t="s">
        <v>2641</v>
      </c>
    </row>
    <row r="265" spans="13:13" x14ac:dyDescent="0.35">
      <c r="M265" s="847" t="s">
        <v>2642</v>
      </c>
    </row>
    <row r="266" spans="13:13" x14ac:dyDescent="0.35">
      <c r="M266" s="847" t="s">
        <v>2643</v>
      </c>
    </row>
    <row r="267" spans="13:13" x14ac:dyDescent="0.35">
      <c r="M267" s="847" t="s">
        <v>2644</v>
      </c>
    </row>
    <row r="268" spans="13:13" x14ac:dyDescent="0.35">
      <c r="M268" s="847" t="s">
        <v>2645</v>
      </c>
    </row>
    <row r="269" spans="13:13" x14ac:dyDescent="0.35">
      <c r="M269" s="847" t="s">
        <v>2646</v>
      </c>
    </row>
    <row r="270" spans="13:13" x14ac:dyDescent="0.35">
      <c r="M270" s="847" t="s">
        <v>2647</v>
      </c>
    </row>
    <row r="271" spans="13:13" x14ac:dyDescent="0.35">
      <c r="M271" s="847" t="s">
        <v>2648</v>
      </c>
    </row>
    <row r="272" spans="13:13" x14ac:dyDescent="0.35">
      <c r="M272" s="847" t="s">
        <v>2649</v>
      </c>
    </row>
    <row r="273" spans="13:13" x14ac:dyDescent="0.35">
      <c r="M273" s="847" t="s">
        <v>2650</v>
      </c>
    </row>
    <row r="274" spans="13:13" x14ac:dyDescent="0.35">
      <c r="M274" s="847" t="s">
        <v>2651</v>
      </c>
    </row>
    <row r="275" spans="13:13" x14ac:dyDescent="0.35">
      <c r="M275" s="847" t="s">
        <v>2652</v>
      </c>
    </row>
    <row r="276" spans="13:13" x14ac:dyDescent="0.35">
      <c r="M276" s="847" t="s">
        <v>2653</v>
      </c>
    </row>
    <row r="277" spans="13:13" x14ac:dyDescent="0.35">
      <c r="M277" s="847" t="s">
        <v>2654</v>
      </c>
    </row>
    <row r="278" spans="13:13" x14ac:dyDescent="0.35">
      <c r="M278" s="847" t="s">
        <v>2655</v>
      </c>
    </row>
    <row r="279" spans="13:13" x14ac:dyDescent="0.35">
      <c r="M279" s="847" t="s">
        <v>2656</v>
      </c>
    </row>
    <row r="280" spans="13:13" x14ac:dyDescent="0.35">
      <c r="M280" s="847" t="s">
        <v>2657</v>
      </c>
    </row>
    <row r="281" spans="13:13" x14ac:dyDescent="0.35">
      <c r="M281" s="847" t="s">
        <v>2658</v>
      </c>
    </row>
    <row r="282" spans="13:13" x14ac:dyDescent="0.35">
      <c r="M282" s="847" t="s">
        <v>2659</v>
      </c>
    </row>
    <row r="283" spans="13:13" x14ac:dyDescent="0.35">
      <c r="M283" s="847" t="s">
        <v>2660</v>
      </c>
    </row>
    <row r="284" spans="13:13" x14ac:dyDescent="0.35">
      <c r="M284" s="847" t="s">
        <v>2661</v>
      </c>
    </row>
    <row r="285" spans="13:13" x14ac:dyDescent="0.35">
      <c r="M285" s="847" t="s">
        <v>2662</v>
      </c>
    </row>
    <row r="286" spans="13:13" x14ac:dyDescent="0.35">
      <c r="M286" s="847" t="s">
        <v>2663</v>
      </c>
    </row>
    <row r="287" spans="13:13" x14ac:dyDescent="0.35">
      <c r="M287" s="847" t="s">
        <v>2664</v>
      </c>
    </row>
    <row r="288" spans="13:13" x14ac:dyDescent="0.35">
      <c r="M288" s="847" t="s">
        <v>2665</v>
      </c>
    </row>
    <row r="289" spans="13:13" x14ac:dyDescent="0.35">
      <c r="M289" s="847" t="s">
        <v>2666</v>
      </c>
    </row>
    <row r="290" spans="13:13" x14ac:dyDescent="0.35">
      <c r="M290" s="847" t="s">
        <v>2667</v>
      </c>
    </row>
    <row r="291" spans="13:13" x14ac:dyDescent="0.35">
      <c r="M291" s="847" t="s">
        <v>2668</v>
      </c>
    </row>
    <row r="292" spans="13:13" x14ac:dyDescent="0.35">
      <c r="M292" s="847" t="s">
        <v>2669</v>
      </c>
    </row>
    <row r="293" spans="13:13" x14ac:dyDescent="0.35">
      <c r="M293" s="847" t="s">
        <v>2670</v>
      </c>
    </row>
    <row r="294" spans="13:13" x14ac:dyDescent="0.35">
      <c r="M294" s="847" t="s">
        <v>2671</v>
      </c>
    </row>
    <row r="295" spans="13:13" x14ac:dyDescent="0.35">
      <c r="M295" s="847" t="s">
        <v>2672</v>
      </c>
    </row>
    <row r="296" spans="13:13" x14ac:dyDescent="0.35">
      <c r="M296" s="847" t="s">
        <v>2673</v>
      </c>
    </row>
    <row r="297" spans="13:13" x14ac:dyDescent="0.35">
      <c r="M297" s="847" t="s">
        <v>2674</v>
      </c>
    </row>
    <row r="298" spans="13:13" x14ac:dyDescent="0.35">
      <c r="M298" s="847" t="s">
        <v>2674</v>
      </c>
    </row>
    <row r="299" spans="13:13" x14ac:dyDescent="0.35">
      <c r="M299" s="847" t="s">
        <v>2675</v>
      </c>
    </row>
    <row r="300" spans="13:13" x14ac:dyDescent="0.35">
      <c r="M300" s="847" t="s">
        <v>2676</v>
      </c>
    </row>
    <row r="301" spans="13:13" x14ac:dyDescent="0.35">
      <c r="M301" s="847" t="s">
        <v>2677</v>
      </c>
    </row>
    <row r="302" spans="13:13" x14ac:dyDescent="0.35">
      <c r="M302" s="847" t="s">
        <v>2678</v>
      </c>
    </row>
    <row r="303" spans="13:13" x14ac:dyDescent="0.35">
      <c r="M303" s="847" t="s">
        <v>2679</v>
      </c>
    </row>
    <row r="304" spans="13:13" x14ac:dyDescent="0.35">
      <c r="M304" s="847" t="s">
        <v>2680</v>
      </c>
    </row>
    <row r="305" spans="13:13" x14ac:dyDescent="0.35">
      <c r="M305" s="847" t="s">
        <v>2681</v>
      </c>
    </row>
    <row r="306" spans="13:13" x14ac:dyDescent="0.35">
      <c r="M306" s="847" t="s">
        <v>2682</v>
      </c>
    </row>
    <row r="307" spans="13:13" x14ac:dyDescent="0.35">
      <c r="M307" s="847" t="s">
        <v>2683</v>
      </c>
    </row>
    <row r="308" spans="13:13" x14ac:dyDescent="0.35">
      <c r="M308" s="847" t="s">
        <v>2684</v>
      </c>
    </row>
    <row r="309" spans="13:13" x14ac:dyDescent="0.35">
      <c r="M309" s="847" t="s">
        <v>2685</v>
      </c>
    </row>
    <row r="310" spans="13:13" x14ac:dyDescent="0.35">
      <c r="M310" s="847" t="s">
        <v>2686</v>
      </c>
    </row>
    <row r="311" spans="13:13" x14ac:dyDescent="0.35">
      <c r="M311" s="847" t="s">
        <v>2687</v>
      </c>
    </row>
    <row r="312" spans="13:13" x14ac:dyDescent="0.35">
      <c r="M312" s="847" t="s">
        <v>2688</v>
      </c>
    </row>
    <row r="313" spans="13:13" x14ac:dyDescent="0.35">
      <c r="M313" s="847" t="s">
        <v>2689</v>
      </c>
    </row>
    <row r="314" spans="13:13" x14ac:dyDescent="0.35">
      <c r="M314" s="847" t="s">
        <v>2690</v>
      </c>
    </row>
    <row r="315" spans="13:13" x14ac:dyDescent="0.35">
      <c r="M315" s="847" t="s">
        <v>2691</v>
      </c>
    </row>
    <row r="316" spans="13:13" x14ac:dyDescent="0.35">
      <c r="M316" s="847" t="s">
        <v>2692</v>
      </c>
    </row>
    <row r="317" spans="13:13" x14ac:dyDescent="0.35">
      <c r="M317" s="847" t="s">
        <v>2693</v>
      </c>
    </row>
    <row r="318" spans="13:13" x14ac:dyDescent="0.35">
      <c r="M318" s="847" t="s">
        <v>2694</v>
      </c>
    </row>
    <row r="319" spans="13:13" x14ac:dyDescent="0.35">
      <c r="M319" s="847" t="s">
        <v>2695</v>
      </c>
    </row>
    <row r="320" spans="13:13" x14ac:dyDescent="0.35">
      <c r="M320" s="847" t="s">
        <v>2696</v>
      </c>
    </row>
    <row r="321" spans="13:13" x14ac:dyDescent="0.35">
      <c r="M321" s="847" t="s">
        <v>2697</v>
      </c>
    </row>
    <row r="322" spans="13:13" x14ac:dyDescent="0.35">
      <c r="M322" s="847" t="s">
        <v>2698</v>
      </c>
    </row>
    <row r="323" spans="13:13" x14ac:dyDescent="0.35">
      <c r="M323" s="847" t="s">
        <v>2699</v>
      </c>
    </row>
    <row r="324" spans="13:13" x14ac:dyDescent="0.35">
      <c r="M324" s="847" t="s">
        <v>2700</v>
      </c>
    </row>
    <row r="325" spans="13:13" x14ac:dyDescent="0.35">
      <c r="M325" s="847" t="s">
        <v>2701</v>
      </c>
    </row>
    <row r="326" spans="13:13" x14ac:dyDescent="0.35">
      <c r="M326" s="847" t="s">
        <v>2702</v>
      </c>
    </row>
    <row r="327" spans="13:13" x14ac:dyDescent="0.35">
      <c r="M327" s="847" t="s">
        <v>2703</v>
      </c>
    </row>
    <row r="328" spans="13:13" x14ac:dyDescent="0.35">
      <c r="M328" s="847" t="s">
        <v>2704</v>
      </c>
    </row>
    <row r="329" spans="13:13" x14ac:dyDescent="0.35">
      <c r="M329" s="847" t="s">
        <v>2705</v>
      </c>
    </row>
    <row r="330" spans="13:13" x14ac:dyDescent="0.35">
      <c r="M330" s="847" t="s">
        <v>2706</v>
      </c>
    </row>
    <row r="331" spans="13:13" x14ac:dyDescent="0.35">
      <c r="M331" s="847" t="s">
        <v>2707</v>
      </c>
    </row>
    <row r="332" spans="13:13" x14ac:dyDescent="0.35">
      <c r="M332" s="847" t="s">
        <v>2708</v>
      </c>
    </row>
    <row r="333" spans="13:13" x14ac:dyDescent="0.35">
      <c r="M333" s="847" t="s">
        <v>2709</v>
      </c>
    </row>
    <row r="334" spans="13:13" x14ac:dyDescent="0.35">
      <c r="M334" s="847" t="s">
        <v>2710</v>
      </c>
    </row>
    <row r="335" spans="13:13" x14ac:dyDescent="0.35">
      <c r="M335" s="847" t="s">
        <v>2711</v>
      </c>
    </row>
    <row r="336" spans="13:13" x14ac:dyDescent="0.35">
      <c r="M336" s="847" t="s">
        <v>2712</v>
      </c>
    </row>
    <row r="337" spans="13:13" x14ac:dyDescent="0.35">
      <c r="M337" s="847" t="s">
        <v>2713</v>
      </c>
    </row>
    <row r="338" spans="13:13" x14ac:dyDescent="0.35">
      <c r="M338" s="847" t="s">
        <v>2714</v>
      </c>
    </row>
    <row r="339" spans="13:13" x14ac:dyDescent="0.35">
      <c r="M339" s="847" t="s">
        <v>2715</v>
      </c>
    </row>
    <row r="340" spans="13:13" x14ac:dyDescent="0.35">
      <c r="M340" s="847" t="s">
        <v>2716</v>
      </c>
    </row>
    <row r="341" spans="13:13" x14ac:dyDescent="0.35">
      <c r="M341" s="847" t="s">
        <v>2717</v>
      </c>
    </row>
    <row r="342" spans="13:13" x14ac:dyDescent="0.35">
      <c r="M342" s="847" t="s">
        <v>2716</v>
      </c>
    </row>
    <row r="343" spans="13:13" x14ac:dyDescent="0.35">
      <c r="M343" s="847" t="s">
        <v>2718</v>
      </c>
    </row>
    <row r="344" spans="13:13" x14ac:dyDescent="0.35">
      <c r="M344" s="847" t="s">
        <v>2719</v>
      </c>
    </row>
    <row r="345" spans="13:13" x14ac:dyDescent="0.35">
      <c r="M345" s="847" t="s">
        <v>2720</v>
      </c>
    </row>
    <row r="346" spans="13:13" x14ac:dyDescent="0.35">
      <c r="M346" s="847" t="s">
        <v>2721</v>
      </c>
    </row>
    <row r="347" spans="13:13" x14ac:dyDescent="0.35">
      <c r="M347" s="847" t="s">
        <v>2722</v>
      </c>
    </row>
    <row r="348" spans="13:13" x14ac:dyDescent="0.35">
      <c r="M348" s="847" t="s">
        <v>2723</v>
      </c>
    </row>
    <row r="349" spans="13:13" x14ac:dyDescent="0.35">
      <c r="M349" s="847" t="s">
        <v>2724</v>
      </c>
    </row>
    <row r="350" spans="13:13" x14ac:dyDescent="0.35">
      <c r="M350" s="847" t="s">
        <v>2725</v>
      </c>
    </row>
    <row r="351" spans="13:13" x14ac:dyDescent="0.35">
      <c r="M351" s="847" t="s">
        <v>2726</v>
      </c>
    </row>
    <row r="352" spans="13:13" x14ac:dyDescent="0.35">
      <c r="M352" s="847" t="s">
        <v>2727</v>
      </c>
    </row>
    <row r="353" spans="13:13" x14ac:dyDescent="0.35">
      <c r="M353" s="847" t="s">
        <v>2728</v>
      </c>
    </row>
    <row r="354" spans="13:13" x14ac:dyDescent="0.35">
      <c r="M354" s="847" t="s">
        <v>2729</v>
      </c>
    </row>
    <row r="355" spans="13:13" x14ac:dyDescent="0.35">
      <c r="M355" s="847" t="s">
        <v>2730</v>
      </c>
    </row>
    <row r="356" spans="13:13" x14ac:dyDescent="0.35">
      <c r="M356" s="847" t="s">
        <v>2731</v>
      </c>
    </row>
    <row r="357" spans="13:13" x14ac:dyDescent="0.35">
      <c r="M357" s="847" t="s">
        <v>2732</v>
      </c>
    </row>
    <row r="358" spans="13:13" x14ac:dyDescent="0.35">
      <c r="M358" s="847" t="s">
        <v>2733</v>
      </c>
    </row>
    <row r="359" spans="13:13" x14ac:dyDescent="0.35">
      <c r="M359" s="847" t="s">
        <v>2734</v>
      </c>
    </row>
    <row r="360" spans="13:13" x14ac:dyDescent="0.35">
      <c r="M360" s="847" t="s">
        <v>2735</v>
      </c>
    </row>
    <row r="361" spans="13:13" x14ac:dyDescent="0.35">
      <c r="M361" s="847" t="s">
        <v>2736</v>
      </c>
    </row>
    <row r="362" spans="13:13" x14ac:dyDescent="0.35">
      <c r="M362" s="847" t="s">
        <v>2737</v>
      </c>
    </row>
    <row r="363" spans="13:13" x14ac:dyDescent="0.35">
      <c r="M363" s="847" t="s">
        <v>2738</v>
      </c>
    </row>
    <row r="364" spans="13:13" x14ac:dyDescent="0.35">
      <c r="M364" s="847" t="s">
        <v>2739</v>
      </c>
    </row>
    <row r="365" spans="13:13" x14ac:dyDescent="0.35">
      <c r="M365" s="847" t="s">
        <v>2740</v>
      </c>
    </row>
    <row r="366" spans="13:13" x14ac:dyDescent="0.35">
      <c r="M366" s="847" t="s">
        <v>2741</v>
      </c>
    </row>
    <row r="367" spans="13:13" x14ac:dyDescent="0.35">
      <c r="M367" s="847" t="s">
        <v>2742</v>
      </c>
    </row>
    <row r="368" spans="13:13" x14ac:dyDescent="0.35">
      <c r="M368" s="847" t="s">
        <v>2743</v>
      </c>
    </row>
    <row r="369" spans="13:13" x14ac:dyDescent="0.35">
      <c r="M369" s="847" t="s">
        <v>2744</v>
      </c>
    </row>
    <row r="370" spans="13:13" x14ac:dyDescent="0.35">
      <c r="M370" s="847" t="s">
        <v>2745</v>
      </c>
    </row>
    <row r="371" spans="13:13" x14ac:dyDescent="0.35">
      <c r="M371" s="847" t="s">
        <v>2746</v>
      </c>
    </row>
    <row r="372" spans="13:13" x14ac:dyDescent="0.35">
      <c r="M372" s="847" t="s">
        <v>2747</v>
      </c>
    </row>
    <row r="373" spans="13:13" x14ac:dyDescent="0.35">
      <c r="M373" s="847" t="s">
        <v>2748</v>
      </c>
    </row>
    <row r="374" spans="13:13" x14ac:dyDescent="0.35">
      <c r="M374" s="847" t="s">
        <v>2749</v>
      </c>
    </row>
    <row r="375" spans="13:13" x14ac:dyDescent="0.35">
      <c r="M375" s="847" t="s">
        <v>2750</v>
      </c>
    </row>
    <row r="376" spans="13:13" x14ac:dyDescent="0.35">
      <c r="M376" s="847" t="s">
        <v>2751</v>
      </c>
    </row>
    <row r="377" spans="13:13" x14ac:dyDescent="0.35">
      <c r="M377" s="847" t="s">
        <v>2752</v>
      </c>
    </row>
    <row r="378" spans="13:13" x14ac:dyDescent="0.35">
      <c r="M378" s="847" t="s">
        <v>2753</v>
      </c>
    </row>
    <row r="379" spans="13:13" x14ac:dyDescent="0.35">
      <c r="M379" s="847" t="s">
        <v>2754</v>
      </c>
    </row>
    <row r="380" spans="13:13" x14ac:dyDescent="0.35">
      <c r="M380" s="847" t="s">
        <v>2755</v>
      </c>
    </row>
    <row r="381" spans="13:13" x14ac:dyDescent="0.35">
      <c r="M381" s="847" t="s">
        <v>2756</v>
      </c>
    </row>
    <row r="382" spans="13:13" x14ac:dyDescent="0.35">
      <c r="M382" s="847" t="s">
        <v>2757</v>
      </c>
    </row>
    <row r="383" spans="13:13" x14ac:dyDescent="0.35">
      <c r="M383" s="847" t="s">
        <v>2758</v>
      </c>
    </row>
    <row r="384" spans="13:13" x14ac:dyDescent="0.35">
      <c r="M384" s="847" t="s">
        <v>2759</v>
      </c>
    </row>
    <row r="385" spans="13:13" x14ac:dyDescent="0.35">
      <c r="M385" s="847" t="s">
        <v>2760</v>
      </c>
    </row>
    <row r="386" spans="13:13" x14ac:dyDescent="0.35">
      <c r="M386" s="847" t="s">
        <v>2761</v>
      </c>
    </row>
    <row r="387" spans="13:13" x14ac:dyDescent="0.35">
      <c r="M387" s="847" t="s">
        <v>2762</v>
      </c>
    </row>
    <row r="388" spans="13:13" x14ac:dyDescent="0.35">
      <c r="M388" s="847" t="s">
        <v>2763</v>
      </c>
    </row>
    <row r="389" spans="13:13" x14ac:dyDescent="0.35">
      <c r="M389" s="847" t="s">
        <v>2764</v>
      </c>
    </row>
    <row r="390" spans="13:13" x14ac:dyDescent="0.35">
      <c r="M390" s="847" t="s">
        <v>2765</v>
      </c>
    </row>
    <row r="391" spans="13:13" x14ac:dyDescent="0.35">
      <c r="M391" s="847" t="s">
        <v>2766</v>
      </c>
    </row>
    <row r="392" spans="13:13" x14ac:dyDescent="0.35">
      <c r="M392" s="847" t="s">
        <v>2767</v>
      </c>
    </row>
    <row r="393" spans="13:13" x14ac:dyDescent="0.35">
      <c r="M393" s="847" t="s">
        <v>2768</v>
      </c>
    </row>
    <row r="394" spans="13:13" x14ac:dyDescent="0.35">
      <c r="M394" s="847" t="s">
        <v>2769</v>
      </c>
    </row>
    <row r="395" spans="13:13" x14ac:dyDescent="0.35">
      <c r="M395" s="847" t="s">
        <v>2770</v>
      </c>
    </row>
    <row r="396" spans="13:13" x14ac:dyDescent="0.35">
      <c r="M396" s="847" t="s">
        <v>2771</v>
      </c>
    </row>
    <row r="397" spans="13:13" x14ac:dyDescent="0.35">
      <c r="M397" s="847" t="s">
        <v>2772</v>
      </c>
    </row>
    <row r="398" spans="13:13" x14ac:dyDescent="0.35">
      <c r="M398" s="847" t="s">
        <v>2773</v>
      </c>
    </row>
    <row r="399" spans="13:13" x14ac:dyDescent="0.35">
      <c r="M399" s="847" t="s">
        <v>2774</v>
      </c>
    </row>
    <row r="400" spans="13:13" x14ac:dyDescent="0.35">
      <c r="M400" s="847" t="s">
        <v>2775</v>
      </c>
    </row>
    <row r="401" spans="13:13" x14ac:dyDescent="0.35">
      <c r="M401" s="847" t="s">
        <v>2776</v>
      </c>
    </row>
    <row r="402" spans="13:13" x14ac:dyDescent="0.35">
      <c r="M402" s="847" t="s">
        <v>2777</v>
      </c>
    </row>
    <row r="403" spans="13:13" x14ac:dyDescent="0.35">
      <c r="M403" s="847" t="s">
        <v>2778</v>
      </c>
    </row>
    <row r="404" spans="13:13" x14ac:dyDescent="0.35">
      <c r="M404" s="847" t="s">
        <v>2779</v>
      </c>
    </row>
    <row r="405" spans="13:13" x14ac:dyDescent="0.35">
      <c r="M405" s="847" t="s">
        <v>2780</v>
      </c>
    </row>
    <row r="406" spans="13:13" x14ac:dyDescent="0.35">
      <c r="M406" s="847" t="s">
        <v>2781</v>
      </c>
    </row>
    <row r="407" spans="13:13" x14ac:dyDescent="0.35">
      <c r="M407" s="847" t="s">
        <v>2782</v>
      </c>
    </row>
    <row r="408" spans="13:13" x14ac:dyDescent="0.35">
      <c r="M408" s="847" t="s">
        <v>2783</v>
      </c>
    </row>
    <row r="409" spans="13:13" x14ac:dyDescent="0.35">
      <c r="M409" s="847" t="s">
        <v>2784</v>
      </c>
    </row>
    <row r="410" spans="13:13" x14ac:dyDescent="0.35">
      <c r="M410" s="847" t="s">
        <v>2785</v>
      </c>
    </row>
    <row r="411" spans="13:13" x14ac:dyDescent="0.35">
      <c r="M411" s="847" t="s">
        <v>2786</v>
      </c>
    </row>
    <row r="412" spans="13:13" x14ac:dyDescent="0.35">
      <c r="M412" s="847" t="s">
        <v>2787</v>
      </c>
    </row>
    <row r="413" spans="13:13" x14ac:dyDescent="0.35">
      <c r="M413" s="847" t="s">
        <v>2788</v>
      </c>
    </row>
    <row r="414" spans="13:13" x14ac:dyDescent="0.35">
      <c r="M414" s="847" t="s">
        <v>2789</v>
      </c>
    </row>
    <row r="415" spans="13:13" x14ac:dyDescent="0.35">
      <c r="M415" s="847" t="s">
        <v>2790</v>
      </c>
    </row>
    <row r="416" spans="13:13" x14ac:dyDescent="0.35">
      <c r="M416" s="847" t="s">
        <v>2791</v>
      </c>
    </row>
    <row r="417" spans="13:13" x14ac:dyDescent="0.35">
      <c r="M417" s="847" t="s">
        <v>2792</v>
      </c>
    </row>
    <row r="418" spans="13:13" x14ac:dyDescent="0.35">
      <c r="M418" s="847" t="s">
        <v>2793</v>
      </c>
    </row>
    <row r="419" spans="13:13" x14ac:dyDescent="0.35">
      <c r="M419" s="847" t="s">
        <v>2794</v>
      </c>
    </row>
    <row r="420" spans="13:13" x14ac:dyDescent="0.35">
      <c r="M420" s="847" t="s">
        <v>2795</v>
      </c>
    </row>
    <row r="421" spans="13:13" x14ac:dyDescent="0.35">
      <c r="M421" s="847" t="s">
        <v>2796</v>
      </c>
    </row>
    <row r="422" spans="13:13" x14ac:dyDescent="0.35">
      <c r="M422" s="847" t="s">
        <v>2797</v>
      </c>
    </row>
    <row r="423" spans="13:13" x14ac:dyDescent="0.35">
      <c r="M423" s="847" t="s">
        <v>2798</v>
      </c>
    </row>
    <row r="424" spans="13:13" x14ac:dyDescent="0.35">
      <c r="M424" s="847" t="s">
        <v>2799</v>
      </c>
    </row>
    <row r="425" spans="13:13" x14ac:dyDescent="0.35">
      <c r="M425" s="847" t="s">
        <v>2800</v>
      </c>
    </row>
    <row r="426" spans="13:13" x14ac:dyDescent="0.35">
      <c r="M426" s="847" t="s">
        <v>2801</v>
      </c>
    </row>
    <row r="427" spans="13:13" x14ac:dyDescent="0.35">
      <c r="M427" s="847" t="s">
        <v>2802</v>
      </c>
    </row>
    <row r="428" spans="13:13" x14ac:dyDescent="0.35">
      <c r="M428" s="847" t="s">
        <v>2803</v>
      </c>
    </row>
    <row r="429" spans="13:13" x14ac:dyDescent="0.35">
      <c r="M429" s="847" t="s">
        <v>2804</v>
      </c>
    </row>
    <row r="430" spans="13:13" x14ac:dyDescent="0.35">
      <c r="M430" s="847" t="s">
        <v>2805</v>
      </c>
    </row>
    <row r="431" spans="13:13" x14ac:dyDescent="0.35">
      <c r="M431" s="847" t="s">
        <v>2806</v>
      </c>
    </row>
    <row r="432" spans="13:13" x14ac:dyDescent="0.35">
      <c r="M432" s="847" t="s">
        <v>2807</v>
      </c>
    </row>
    <row r="433" spans="13:13" x14ac:dyDescent="0.35">
      <c r="M433" s="847" t="s">
        <v>2808</v>
      </c>
    </row>
    <row r="434" spans="13:13" x14ac:dyDescent="0.35">
      <c r="M434" s="847" t="s">
        <v>2809</v>
      </c>
    </row>
    <row r="435" spans="13:13" x14ac:dyDescent="0.35">
      <c r="M435" s="847" t="s">
        <v>2810</v>
      </c>
    </row>
    <row r="436" spans="13:13" x14ac:dyDescent="0.35">
      <c r="M436" s="847" t="s">
        <v>2811</v>
      </c>
    </row>
    <row r="437" spans="13:13" x14ac:dyDescent="0.35">
      <c r="M437" s="847" t="s">
        <v>2812</v>
      </c>
    </row>
    <row r="438" spans="13:13" x14ac:dyDescent="0.35">
      <c r="M438" s="847" t="s">
        <v>2813</v>
      </c>
    </row>
    <row r="439" spans="13:13" x14ac:dyDescent="0.35">
      <c r="M439" s="847" t="s">
        <v>2814</v>
      </c>
    </row>
    <row r="440" spans="13:13" x14ac:dyDescent="0.35">
      <c r="M440" s="847" t="s">
        <v>2815</v>
      </c>
    </row>
    <row r="441" spans="13:13" x14ac:dyDescent="0.35">
      <c r="M441" s="847" t="s">
        <v>2816</v>
      </c>
    </row>
    <row r="442" spans="13:13" x14ac:dyDescent="0.35">
      <c r="M442" s="847" t="s">
        <v>2817</v>
      </c>
    </row>
    <row r="443" spans="13:13" x14ac:dyDescent="0.35">
      <c r="M443" s="847" t="s">
        <v>2818</v>
      </c>
    </row>
    <row r="444" spans="13:13" x14ac:dyDescent="0.35">
      <c r="M444" s="847" t="s">
        <v>2819</v>
      </c>
    </row>
    <row r="445" spans="13:13" x14ac:dyDescent="0.35">
      <c r="M445" s="847" t="s">
        <v>2820</v>
      </c>
    </row>
    <row r="446" spans="13:13" x14ac:dyDescent="0.35">
      <c r="M446" s="847" t="s">
        <v>2821</v>
      </c>
    </row>
    <row r="447" spans="13:13" x14ac:dyDescent="0.35">
      <c r="M447" s="847" t="s">
        <v>2822</v>
      </c>
    </row>
    <row r="448" spans="13:13" x14ac:dyDescent="0.35">
      <c r="M448" s="847" t="s">
        <v>2823</v>
      </c>
    </row>
    <row r="449" spans="13:13" x14ac:dyDescent="0.35">
      <c r="M449" s="847" t="s">
        <v>2824</v>
      </c>
    </row>
    <row r="450" spans="13:13" x14ac:dyDescent="0.35">
      <c r="M450" s="847" t="s">
        <v>2825</v>
      </c>
    </row>
    <row r="451" spans="13:13" x14ac:dyDescent="0.35">
      <c r="M451" s="847" t="s">
        <v>2826</v>
      </c>
    </row>
    <row r="452" spans="13:13" x14ac:dyDescent="0.35">
      <c r="M452" s="847" t="s">
        <v>2827</v>
      </c>
    </row>
    <row r="453" spans="13:13" x14ac:dyDescent="0.35">
      <c r="M453" s="847" t="s">
        <v>2828</v>
      </c>
    </row>
    <row r="454" spans="13:13" x14ac:dyDescent="0.35">
      <c r="M454" s="847" t="s">
        <v>2829</v>
      </c>
    </row>
    <row r="455" spans="13:13" x14ac:dyDescent="0.35">
      <c r="M455" s="847" t="s">
        <v>2830</v>
      </c>
    </row>
    <row r="456" spans="13:13" x14ac:dyDescent="0.35">
      <c r="M456" s="847" t="s">
        <v>2831</v>
      </c>
    </row>
    <row r="457" spans="13:13" x14ac:dyDescent="0.35">
      <c r="M457" s="847" t="s">
        <v>2832</v>
      </c>
    </row>
    <row r="458" spans="13:13" x14ac:dyDescent="0.35">
      <c r="M458" s="847" t="s">
        <v>2833</v>
      </c>
    </row>
    <row r="459" spans="13:13" x14ac:dyDescent="0.35">
      <c r="M459" s="847" t="s">
        <v>2834</v>
      </c>
    </row>
    <row r="460" spans="13:13" x14ac:dyDescent="0.35">
      <c r="M460" s="847" t="s">
        <v>2835</v>
      </c>
    </row>
    <row r="461" spans="13:13" x14ac:dyDescent="0.35">
      <c r="M461" s="847" t="s">
        <v>2836</v>
      </c>
    </row>
    <row r="462" spans="13:13" x14ac:dyDescent="0.35">
      <c r="M462" s="847" t="s">
        <v>2837</v>
      </c>
    </row>
    <row r="463" spans="13:13" x14ac:dyDescent="0.35">
      <c r="M463" s="847" t="s">
        <v>2838</v>
      </c>
    </row>
    <row r="464" spans="13:13" x14ac:dyDescent="0.35">
      <c r="M464" s="847" t="s">
        <v>2839</v>
      </c>
    </row>
    <row r="465" spans="13:13" x14ac:dyDescent="0.35">
      <c r="M465" s="847" t="s">
        <v>2840</v>
      </c>
    </row>
    <row r="466" spans="13:13" x14ac:dyDescent="0.35">
      <c r="M466" s="847" t="s">
        <v>2841</v>
      </c>
    </row>
    <row r="467" spans="13:13" x14ac:dyDescent="0.35">
      <c r="M467" s="847" t="s">
        <v>2842</v>
      </c>
    </row>
    <row r="468" spans="13:13" x14ac:dyDescent="0.35">
      <c r="M468" s="847" t="s">
        <v>2843</v>
      </c>
    </row>
    <row r="469" spans="13:13" x14ac:dyDescent="0.35">
      <c r="M469" s="847" t="s">
        <v>2844</v>
      </c>
    </row>
    <row r="470" spans="13:13" x14ac:dyDescent="0.35">
      <c r="M470" s="847" t="s">
        <v>2845</v>
      </c>
    </row>
    <row r="471" spans="13:13" x14ac:dyDescent="0.35">
      <c r="M471" s="847" t="s">
        <v>2846</v>
      </c>
    </row>
    <row r="472" spans="13:13" x14ac:dyDescent="0.35">
      <c r="M472" s="847" t="s">
        <v>2847</v>
      </c>
    </row>
    <row r="473" spans="13:13" x14ac:dyDescent="0.35">
      <c r="M473" s="847" t="s">
        <v>2848</v>
      </c>
    </row>
    <row r="474" spans="13:13" x14ac:dyDescent="0.35">
      <c r="M474" s="847" t="s">
        <v>2849</v>
      </c>
    </row>
    <row r="475" spans="13:13" x14ac:dyDescent="0.35">
      <c r="M475" s="847" t="s">
        <v>2850</v>
      </c>
    </row>
    <row r="476" spans="13:13" x14ac:dyDescent="0.35">
      <c r="M476" s="847" t="s">
        <v>2851</v>
      </c>
    </row>
    <row r="477" spans="13:13" x14ac:dyDescent="0.35">
      <c r="M477" s="847" t="s">
        <v>2852</v>
      </c>
    </row>
    <row r="478" spans="13:13" x14ac:dyDescent="0.35">
      <c r="M478" s="847" t="s">
        <v>2853</v>
      </c>
    </row>
    <row r="479" spans="13:13" x14ac:dyDescent="0.35">
      <c r="M479" s="847" t="s">
        <v>2854</v>
      </c>
    </row>
    <row r="480" spans="13:13" x14ac:dyDescent="0.35">
      <c r="M480" s="847" t="s">
        <v>2855</v>
      </c>
    </row>
    <row r="481" spans="13:13" x14ac:dyDescent="0.35">
      <c r="M481" s="847" t="s">
        <v>2856</v>
      </c>
    </row>
    <row r="482" spans="13:13" x14ac:dyDescent="0.35">
      <c r="M482" s="847" t="s">
        <v>2857</v>
      </c>
    </row>
    <row r="483" spans="13:13" x14ac:dyDescent="0.35">
      <c r="M483" s="847" t="s">
        <v>2858</v>
      </c>
    </row>
    <row r="484" spans="13:13" x14ac:dyDescent="0.35">
      <c r="M484" s="847" t="s">
        <v>2859</v>
      </c>
    </row>
    <row r="485" spans="13:13" x14ac:dyDescent="0.35">
      <c r="M485" s="847" t="s">
        <v>2860</v>
      </c>
    </row>
    <row r="486" spans="13:13" x14ac:dyDescent="0.35">
      <c r="M486" s="847" t="s">
        <v>2861</v>
      </c>
    </row>
    <row r="487" spans="13:13" x14ac:dyDescent="0.35">
      <c r="M487" s="847" t="s">
        <v>2862</v>
      </c>
    </row>
    <row r="488" spans="13:13" x14ac:dyDescent="0.35">
      <c r="M488" s="847" t="s">
        <v>2863</v>
      </c>
    </row>
    <row r="489" spans="13:13" x14ac:dyDescent="0.35">
      <c r="M489" s="847" t="s">
        <v>2864</v>
      </c>
    </row>
    <row r="490" spans="13:13" x14ac:dyDescent="0.35">
      <c r="M490" s="847" t="s">
        <v>2865</v>
      </c>
    </row>
    <row r="491" spans="13:13" x14ac:dyDescent="0.35">
      <c r="M491" s="847" t="s">
        <v>2866</v>
      </c>
    </row>
    <row r="492" spans="13:13" x14ac:dyDescent="0.35">
      <c r="M492" s="847" t="s">
        <v>2867</v>
      </c>
    </row>
    <row r="493" spans="13:13" x14ac:dyDescent="0.35">
      <c r="M493" s="847" t="s">
        <v>2868</v>
      </c>
    </row>
    <row r="494" spans="13:13" x14ac:dyDescent="0.35">
      <c r="M494" s="847" t="s">
        <v>2869</v>
      </c>
    </row>
    <row r="495" spans="13:13" x14ac:dyDescent="0.35">
      <c r="M495" s="847" t="s">
        <v>2870</v>
      </c>
    </row>
    <row r="496" spans="13:13" x14ac:dyDescent="0.35">
      <c r="M496" s="847" t="s">
        <v>2871</v>
      </c>
    </row>
    <row r="497" spans="13:13" x14ac:dyDescent="0.35">
      <c r="M497" s="847" t="s">
        <v>2872</v>
      </c>
    </row>
    <row r="498" spans="13:13" x14ac:dyDescent="0.35">
      <c r="M498" s="847" t="s">
        <v>2873</v>
      </c>
    </row>
    <row r="499" spans="13:13" x14ac:dyDescent="0.35">
      <c r="M499" s="847" t="s">
        <v>2874</v>
      </c>
    </row>
    <row r="500" spans="13:13" x14ac:dyDescent="0.35">
      <c r="M500" s="847" t="s">
        <v>2875</v>
      </c>
    </row>
    <row r="501" spans="13:13" x14ac:dyDescent="0.35">
      <c r="M501" s="847" t="s">
        <v>2876</v>
      </c>
    </row>
    <row r="502" spans="13:13" x14ac:dyDescent="0.35">
      <c r="M502" s="847" t="s">
        <v>2877</v>
      </c>
    </row>
    <row r="503" spans="13:13" x14ac:dyDescent="0.35">
      <c r="M503" s="847" t="s">
        <v>2878</v>
      </c>
    </row>
    <row r="504" spans="13:13" x14ac:dyDescent="0.35">
      <c r="M504" s="847" t="s">
        <v>2879</v>
      </c>
    </row>
    <row r="505" spans="13:13" x14ac:dyDescent="0.35">
      <c r="M505" s="847" t="s">
        <v>2880</v>
      </c>
    </row>
    <row r="506" spans="13:13" x14ac:dyDescent="0.35">
      <c r="M506" s="847" t="s">
        <v>2881</v>
      </c>
    </row>
    <row r="507" spans="13:13" x14ac:dyDescent="0.35">
      <c r="M507" s="847" t="s">
        <v>2882</v>
      </c>
    </row>
    <row r="508" spans="13:13" x14ac:dyDescent="0.35">
      <c r="M508" s="847" t="s">
        <v>2883</v>
      </c>
    </row>
    <row r="509" spans="13:13" x14ac:dyDescent="0.35">
      <c r="M509" s="847" t="s">
        <v>2884</v>
      </c>
    </row>
    <row r="510" spans="13:13" x14ac:dyDescent="0.35">
      <c r="M510" s="847" t="s">
        <v>2885</v>
      </c>
    </row>
    <row r="511" spans="13:13" x14ac:dyDescent="0.35">
      <c r="M511" s="847" t="s">
        <v>2886</v>
      </c>
    </row>
    <row r="512" spans="13:13" x14ac:dyDescent="0.35">
      <c r="M512" s="847" t="s">
        <v>2887</v>
      </c>
    </row>
    <row r="513" spans="13:13" x14ac:dyDescent="0.35">
      <c r="M513" s="847" t="s">
        <v>2888</v>
      </c>
    </row>
    <row r="514" spans="13:13" x14ac:dyDescent="0.35">
      <c r="M514" s="847" t="s">
        <v>2889</v>
      </c>
    </row>
    <row r="515" spans="13:13" x14ac:dyDescent="0.35">
      <c r="M515" s="847" t="s">
        <v>2890</v>
      </c>
    </row>
    <row r="516" spans="13:13" x14ac:dyDescent="0.35">
      <c r="M516" s="847" t="s">
        <v>2891</v>
      </c>
    </row>
    <row r="517" spans="13:13" x14ac:dyDescent="0.35">
      <c r="M517" s="847" t="s">
        <v>2892</v>
      </c>
    </row>
    <row r="518" spans="13:13" x14ac:dyDescent="0.35">
      <c r="M518" s="847" t="s">
        <v>2893</v>
      </c>
    </row>
    <row r="519" spans="13:13" x14ac:dyDescent="0.35">
      <c r="M519" s="847" t="s">
        <v>2894</v>
      </c>
    </row>
    <row r="520" spans="13:13" x14ac:dyDescent="0.35">
      <c r="M520" s="847" t="s">
        <v>2895</v>
      </c>
    </row>
    <row r="521" spans="13:13" x14ac:dyDescent="0.35">
      <c r="M521" s="847" t="s">
        <v>2896</v>
      </c>
    </row>
    <row r="522" spans="13:13" x14ac:dyDescent="0.35">
      <c r="M522" s="847" t="s">
        <v>2897</v>
      </c>
    </row>
    <row r="523" spans="13:13" x14ac:dyDescent="0.35">
      <c r="M523" s="847" t="s">
        <v>2898</v>
      </c>
    </row>
    <row r="524" spans="13:13" x14ac:dyDescent="0.35">
      <c r="M524" s="847" t="s">
        <v>2899</v>
      </c>
    </row>
    <row r="525" spans="13:13" x14ac:dyDescent="0.35">
      <c r="M525" s="847" t="s">
        <v>2900</v>
      </c>
    </row>
    <row r="526" spans="13:13" x14ac:dyDescent="0.35">
      <c r="M526" s="847" t="s">
        <v>2901</v>
      </c>
    </row>
    <row r="527" spans="13:13" x14ac:dyDescent="0.35">
      <c r="M527" s="847" t="s">
        <v>2902</v>
      </c>
    </row>
    <row r="528" spans="13:13" x14ac:dyDescent="0.35">
      <c r="M528" s="847" t="s">
        <v>2903</v>
      </c>
    </row>
    <row r="529" spans="13:13" x14ac:dyDescent="0.35">
      <c r="M529" s="847" t="s">
        <v>2904</v>
      </c>
    </row>
    <row r="530" spans="13:13" x14ac:dyDescent="0.35">
      <c r="M530" s="847" t="s">
        <v>2905</v>
      </c>
    </row>
    <row r="531" spans="13:13" x14ac:dyDescent="0.35">
      <c r="M531" s="847" t="s">
        <v>2906</v>
      </c>
    </row>
    <row r="532" spans="13:13" x14ac:dyDescent="0.35">
      <c r="M532" s="847" t="s">
        <v>2907</v>
      </c>
    </row>
    <row r="533" spans="13:13" x14ac:dyDescent="0.35">
      <c r="M533" s="847" t="s">
        <v>2908</v>
      </c>
    </row>
    <row r="534" spans="13:13" x14ac:dyDescent="0.35">
      <c r="M534" s="847" t="s">
        <v>2909</v>
      </c>
    </row>
    <row r="535" spans="13:13" x14ac:dyDescent="0.35">
      <c r="M535" s="847" t="s">
        <v>2910</v>
      </c>
    </row>
    <row r="536" spans="13:13" x14ac:dyDescent="0.35">
      <c r="M536" s="847" t="s">
        <v>2911</v>
      </c>
    </row>
    <row r="537" spans="13:13" x14ac:dyDescent="0.35">
      <c r="M537" s="847" t="s">
        <v>2912</v>
      </c>
    </row>
    <row r="538" spans="13:13" x14ac:dyDescent="0.35">
      <c r="M538" s="847" t="s">
        <v>2913</v>
      </c>
    </row>
    <row r="539" spans="13:13" x14ac:dyDescent="0.35">
      <c r="M539" s="847" t="s">
        <v>2914</v>
      </c>
    </row>
    <row r="540" spans="13:13" x14ac:dyDescent="0.35">
      <c r="M540" s="847" t="s">
        <v>2915</v>
      </c>
    </row>
    <row r="541" spans="13:13" x14ac:dyDescent="0.35">
      <c r="M541" s="847" t="s">
        <v>2916</v>
      </c>
    </row>
    <row r="542" spans="13:13" x14ac:dyDescent="0.35">
      <c r="M542" s="847" t="s">
        <v>2917</v>
      </c>
    </row>
    <row r="543" spans="13:13" x14ac:dyDescent="0.35">
      <c r="M543" s="847" t="s">
        <v>2918</v>
      </c>
    </row>
    <row r="544" spans="13:13" x14ac:dyDescent="0.35">
      <c r="M544" s="847" t="s">
        <v>2919</v>
      </c>
    </row>
    <row r="545" spans="13:13" x14ac:dyDescent="0.35">
      <c r="M545" s="847" t="s">
        <v>2920</v>
      </c>
    </row>
    <row r="546" spans="13:13" x14ac:dyDescent="0.35">
      <c r="M546" s="847" t="s">
        <v>2921</v>
      </c>
    </row>
    <row r="547" spans="13:13" x14ac:dyDescent="0.35">
      <c r="M547" s="847" t="s">
        <v>2922</v>
      </c>
    </row>
    <row r="548" spans="13:13" x14ac:dyDescent="0.35">
      <c r="M548" s="847" t="s">
        <v>2923</v>
      </c>
    </row>
    <row r="549" spans="13:13" x14ac:dyDescent="0.35">
      <c r="M549" s="847" t="s">
        <v>2924</v>
      </c>
    </row>
    <row r="550" spans="13:13" x14ac:dyDescent="0.35">
      <c r="M550" s="847" t="s">
        <v>2925</v>
      </c>
    </row>
    <row r="551" spans="13:13" x14ac:dyDescent="0.35">
      <c r="M551" s="847" t="s">
        <v>2926</v>
      </c>
    </row>
    <row r="552" spans="13:13" x14ac:dyDescent="0.35">
      <c r="M552" s="847" t="s">
        <v>2927</v>
      </c>
    </row>
    <row r="553" spans="13:13" x14ac:dyDescent="0.35">
      <c r="M553" s="847" t="s">
        <v>2928</v>
      </c>
    </row>
    <row r="554" spans="13:13" x14ac:dyDescent="0.35">
      <c r="M554" s="847" t="s">
        <v>2929</v>
      </c>
    </row>
    <row r="555" spans="13:13" x14ac:dyDescent="0.35">
      <c r="M555" s="847" t="s">
        <v>2930</v>
      </c>
    </row>
    <row r="556" spans="13:13" x14ac:dyDescent="0.35">
      <c r="M556" s="847" t="s">
        <v>2931</v>
      </c>
    </row>
    <row r="557" spans="13:13" x14ac:dyDescent="0.35">
      <c r="M557" s="847" t="s">
        <v>2932</v>
      </c>
    </row>
    <row r="558" spans="13:13" x14ac:dyDescent="0.35">
      <c r="M558" s="847" t="s">
        <v>2933</v>
      </c>
    </row>
    <row r="559" spans="13:13" x14ac:dyDescent="0.35">
      <c r="M559" s="847" t="s">
        <v>2934</v>
      </c>
    </row>
    <row r="560" spans="13:13" x14ac:dyDescent="0.35">
      <c r="M560" s="847" t="s">
        <v>2935</v>
      </c>
    </row>
    <row r="561" spans="13:13" x14ac:dyDescent="0.35">
      <c r="M561" s="847" t="s">
        <v>2936</v>
      </c>
    </row>
    <row r="562" spans="13:13" x14ac:dyDescent="0.35">
      <c r="M562" s="847" t="s">
        <v>2937</v>
      </c>
    </row>
    <row r="563" spans="13:13" x14ac:dyDescent="0.35">
      <c r="M563" s="847" t="s">
        <v>2938</v>
      </c>
    </row>
    <row r="564" spans="13:13" x14ac:dyDescent="0.35">
      <c r="M564" s="847" t="s">
        <v>2939</v>
      </c>
    </row>
    <row r="565" spans="13:13" x14ac:dyDescent="0.35">
      <c r="M565" s="847" t="s">
        <v>2940</v>
      </c>
    </row>
    <row r="566" spans="13:13" x14ac:dyDescent="0.35">
      <c r="M566" s="847" t="s">
        <v>2941</v>
      </c>
    </row>
    <row r="567" spans="13:13" x14ac:dyDescent="0.35">
      <c r="M567" s="847" t="s">
        <v>2942</v>
      </c>
    </row>
    <row r="568" spans="13:13" x14ac:dyDescent="0.35">
      <c r="M568" s="847" t="s">
        <v>2943</v>
      </c>
    </row>
    <row r="569" spans="13:13" x14ac:dyDescent="0.35">
      <c r="M569" s="847" t="s">
        <v>2944</v>
      </c>
    </row>
    <row r="570" spans="13:13" x14ac:dyDescent="0.35">
      <c r="M570" s="847" t="s">
        <v>2945</v>
      </c>
    </row>
    <row r="571" spans="13:13" x14ac:dyDescent="0.35">
      <c r="M571" s="847" t="s">
        <v>2946</v>
      </c>
    </row>
    <row r="572" spans="13:13" x14ac:dyDescent="0.35">
      <c r="M572" s="847" t="s">
        <v>2947</v>
      </c>
    </row>
    <row r="573" spans="13:13" x14ac:dyDescent="0.35">
      <c r="M573" s="847" t="s">
        <v>2825</v>
      </c>
    </row>
    <row r="574" spans="13:13" x14ac:dyDescent="0.35">
      <c r="M574" s="847" t="s">
        <v>2948</v>
      </c>
    </row>
    <row r="575" spans="13:13" x14ac:dyDescent="0.35">
      <c r="M575" s="847" t="s">
        <v>2949</v>
      </c>
    </row>
    <row r="576" spans="13:13" x14ac:dyDescent="0.35">
      <c r="M576" s="847" t="s">
        <v>2950</v>
      </c>
    </row>
    <row r="577" spans="13:13" x14ac:dyDescent="0.35">
      <c r="M577" s="847" t="s">
        <v>2951</v>
      </c>
    </row>
    <row r="578" spans="13:13" x14ac:dyDescent="0.35">
      <c r="M578" s="847" t="s">
        <v>2952</v>
      </c>
    </row>
    <row r="579" spans="13:13" x14ac:dyDescent="0.35">
      <c r="M579" s="847" t="s">
        <v>2953</v>
      </c>
    </row>
    <row r="580" spans="13:13" x14ac:dyDescent="0.35">
      <c r="M580" s="847" t="s">
        <v>2954</v>
      </c>
    </row>
    <row r="581" spans="13:13" x14ac:dyDescent="0.35">
      <c r="M581" s="847" t="s">
        <v>2955</v>
      </c>
    </row>
    <row r="582" spans="13:13" x14ac:dyDescent="0.35">
      <c r="M582" s="847" t="s">
        <v>2956</v>
      </c>
    </row>
    <row r="583" spans="13:13" x14ac:dyDescent="0.35">
      <c r="M583" s="847" t="s">
        <v>2957</v>
      </c>
    </row>
    <row r="584" spans="13:13" x14ac:dyDescent="0.35">
      <c r="M584" s="847" t="s">
        <v>2958</v>
      </c>
    </row>
    <row r="585" spans="13:13" x14ac:dyDescent="0.35">
      <c r="M585" s="847" t="s">
        <v>2959</v>
      </c>
    </row>
    <row r="586" spans="13:13" x14ac:dyDescent="0.35">
      <c r="M586" s="847" t="s">
        <v>2960</v>
      </c>
    </row>
    <row r="587" spans="13:13" x14ac:dyDescent="0.35">
      <c r="M587" s="847" t="s">
        <v>2961</v>
      </c>
    </row>
    <row r="588" spans="13:13" x14ac:dyDescent="0.35">
      <c r="M588" s="847" t="s">
        <v>2962</v>
      </c>
    </row>
    <row r="589" spans="13:13" x14ac:dyDescent="0.35">
      <c r="M589" s="847" t="s">
        <v>2963</v>
      </c>
    </row>
    <row r="590" spans="13:13" x14ac:dyDescent="0.35">
      <c r="M590" s="847" t="s">
        <v>2964</v>
      </c>
    </row>
    <row r="591" spans="13:13" x14ac:dyDescent="0.35">
      <c r="M591" s="847" t="s">
        <v>2965</v>
      </c>
    </row>
    <row r="592" spans="13:13" x14ac:dyDescent="0.35">
      <c r="M592" s="847" t="s">
        <v>2966</v>
      </c>
    </row>
    <row r="593" spans="13:13" x14ac:dyDescent="0.35">
      <c r="M593" s="847" t="s">
        <v>2967</v>
      </c>
    </row>
    <row r="594" spans="13:13" x14ac:dyDescent="0.35">
      <c r="M594" s="847" t="s">
        <v>2968</v>
      </c>
    </row>
    <row r="595" spans="13:13" x14ac:dyDescent="0.35">
      <c r="M595" s="847" t="s">
        <v>2969</v>
      </c>
    </row>
    <row r="596" spans="13:13" x14ac:dyDescent="0.35">
      <c r="M596" s="847" t="s">
        <v>2970</v>
      </c>
    </row>
    <row r="597" spans="13:13" x14ac:dyDescent="0.35">
      <c r="M597" s="847" t="s">
        <v>2971</v>
      </c>
    </row>
    <row r="598" spans="13:13" x14ac:dyDescent="0.35">
      <c r="M598" s="847" t="s">
        <v>2972</v>
      </c>
    </row>
    <row r="599" spans="13:13" x14ac:dyDescent="0.35">
      <c r="M599" s="847" t="s">
        <v>2973</v>
      </c>
    </row>
    <row r="600" spans="13:13" x14ac:dyDescent="0.35">
      <c r="M600" s="847" t="s">
        <v>2974</v>
      </c>
    </row>
    <row r="601" spans="13:13" x14ac:dyDescent="0.35">
      <c r="M601" s="847" t="s">
        <v>2975</v>
      </c>
    </row>
    <row r="602" spans="13:13" x14ac:dyDescent="0.35">
      <c r="M602" s="847" t="s">
        <v>2976</v>
      </c>
    </row>
    <row r="603" spans="13:13" x14ac:dyDescent="0.35">
      <c r="M603" s="847" t="s">
        <v>2977</v>
      </c>
    </row>
    <row r="604" spans="13:13" x14ac:dyDescent="0.35">
      <c r="M604" s="847" t="s">
        <v>2978</v>
      </c>
    </row>
    <row r="605" spans="13:13" x14ac:dyDescent="0.35">
      <c r="M605" s="847" t="s">
        <v>2979</v>
      </c>
    </row>
    <row r="606" spans="13:13" x14ac:dyDescent="0.35">
      <c r="M606" s="847" t="s">
        <v>2980</v>
      </c>
    </row>
    <row r="607" spans="13:13" x14ac:dyDescent="0.35">
      <c r="M607" s="847" t="s">
        <v>2981</v>
      </c>
    </row>
    <row r="608" spans="13:13" x14ac:dyDescent="0.35">
      <c r="M608" s="847" t="s">
        <v>2982</v>
      </c>
    </row>
    <row r="609" spans="13:13" x14ac:dyDescent="0.35">
      <c r="M609" s="847" t="s">
        <v>2983</v>
      </c>
    </row>
    <row r="610" spans="13:13" x14ac:dyDescent="0.35">
      <c r="M610" s="847" t="s">
        <v>2984</v>
      </c>
    </row>
    <row r="611" spans="13:13" x14ac:dyDescent="0.35">
      <c r="M611" s="847" t="s">
        <v>2985</v>
      </c>
    </row>
    <row r="612" spans="13:13" x14ac:dyDescent="0.35">
      <c r="M612" s="847" t="s">
        <v>2986</v>
      </c>
    </row>
    <row r="613" spans="13:13" x14ac:dyDescent="0.35">
      <c r="M613" s="847" t="s">
        <v>2987</v>
      </c>
    </row>
    <row r="614" spans="13:13" x14ac:dyDescent="0.35">
      <c r="M614" s="847" t="s">
        <v>2988</v>
      </c>
    </row>
    <row r="615" spans="13:13" x14ac:dyDescent="0.35">
      <c r="M615" s="847" t="s">
        <v>2989</v>
      </c>
    </row>
    <row r="616" spans="13:13" x14ac:dyDescent="0.35">
      <c r="M616" s="847" t="s">
        <v>2990</v>
      </c>
    </row>
    <row r="617" spans="13:13" x14ac:dyDescent="0.35">
      <c r="M617" s="847" t="s">
        <v>2991</v>
      </c>
    </row>
    <row r="618" spans="13:13" x14ac:dyDescent="0.35">
      <c r="M618" s="847" t="s">
        <v>2992</v>
      </c>
    </row>
    <row r="619" spans="13:13" x14ac:dyDescent="0.35">
      <c r="M619" s="847" t="s">
        <v>2993</v>
      </c>
    </row>
    <row r="620" spans="13:13" x14ac:dyDescent="0.35">
      <c r="M620" s="847" t="s">
        <v>2994</v>
      </c>
    </row>
    <row r="621" spans="13:13" x14ac:dyDescent="0.35">
      <c r="M621" s="847" t="s">
        <v>2995</v>
      </c>
    </row>
    <row r="622" spans="13:13" x14ac:dyDescent="0.35">
      <c r="M622" s="847" t="s">
        <v>2996</v>
      </c>
    </row>
    <row r="623" spans="13:13" x14ac:dyDescent="0.35">
      <c r="M623" s="847" t="s">
        <v>2997</v>
      </c>
    </row>
    <row r="624" spans="13:13" x14ac:dyDescent="0.35">
      <c r="M624" s="847" t="s">
        <v>2998</v>
      </c>
    </row>
    <row r="625" spans="13:13" x14ac:dyDescent="0.35">
      <c r="M625" s="847" t="s">
        <v>2999</v>
      </c>
    </row>
    <row r="626" spans="13:13" x14ac:dyDescent="0.35">
      <c r="M626" s="847" t="s">
        <v>3000</v>
      </c>
    </row>
    <row r="627" spans="13:13" x14ac:dyDescent="0.35">
      <c r="M627" s="847" t="s">
        <v>3001</v>
      </c>
    </row>
    <row r="628" spans="13:13" x14ac:dyDescent="0.35">
      <c r="M628" s="847" t="s">
        <v>3002</v>
      </c>
    </row>
    <row r="629" spans="13:13" x14ac:dyDescent="0.35">
      <c r="M629" s="847" t="s">
        <v>3003</v>
      </c>
    </row>
    <row r="630" spans="13:13" x14ac:dyDescent="0.35">
      <c r="M630" s="847" t="s">
        <v>3004</v>
      </c>
    </row>
    <row r="631" spans="13:13" x14ac:dyDescent="0.35">
      <c r="M631" s="847" t="s">
        <v>3005</v>
      </c>
    </row>
    <row r="632" spans="13:13" x14ac:dyDescent="0.35">
      <c r="M632" s="847" t="s">
        <v>3006</v>
      </c>
    </row>
    <row r="633" spans="13:13" x14ac:dyDescent="0.35">
      <c r="M633" s="847" t="s">
        <v>3007</v>
      </c>
    </row>
    <row r="634" spans="13:13" x14ac:dyDescent="0.35">
      <c r="M634" s="847" t="s">
        <v>3008</v>
      </c>
    </row>
    <row r="635" spans="13:13" x14ac:dyDescent="0.35">
      <c r="M635" s="847" t="s">
        <v>3009</v>
      </c>
    </row>
    <row r="636" spans="13:13" x14ac:dyDescent="0.35">
      <c r="M636" s="847" t="s">
        <v>3010</v>
      </c>
    </row>
    <row r="637" spans="13:13" x14ac:dyDescent="0.35">
      <c r="M637" s="847" t="s">
        <v>3011</v>
      </c>
    </row>
    <row r="638" spans="13:13" x14ac:dyDescent="0.35">
      <c r="M638" s="847" t="s">
        <v>3012</v>
      </c>
    </row>
    <row r="639" spans="13:13" x14ac:dyDescent="0.35">
      <c r="M639" s="847" t="s">
        <v>3013</v>
      </c>
    </row>
    <row r="640" spans="13:13" x14ac:dyDescent="0.35">
      <c r="M640" s="847" t="s">
        <v>3014</v>
      </c>
    </row>
    <row r="641" spans="13:13" x14ac:dyDescent="0.35">
      <c r="M641" s="847" t="s">
        <v>3015</v>
      </c>
    </row>
    <row r="642" spans="13:13" x14ac:dyDescent="0.35">
      <c r="M642" s="847" t="s">
        <v>3016</v>
      </c>
    </row>
    <row r="643" spans="13:13" x14ac:dyDescent="0.35">
      <c r="M643" s="847" t="s">
        <v>3017</v>
      </c>
    </row>
    <row r="644" spans="13:13" x14ac:dyDescent="0.35">
      <c r="M644" s="847" t="s">
        <v>3018</v>
      </c>
    </row>
    <row r="645" spans="13:13" x14ac:dyDescent="0.35">
      <c r="M645" s="847" t="s">
        <v>3019</v>
      </c>
    </row>
    <row r="646" spans="13:13" x14ac:dyDescent="0.35">
      <c r="M646" s="847" t="s">
        <v>3020</v>
      </c>
    </row>
    <row r="647" spans="13:13" x14ac:dyDescent="0.35">
      <c r="M647" s="847" t="s">
        <v>3021</v>
      </c>
    </row>
    <row r="648" spans="13:13" x14ac:dyDescent="0.35">
      <c r="M648" s="847" t="s">
        <v>3022</v>
      </c>
    </row>
    <row r="649" spans="13:13" x14ac:dyDescent="0.35">
      <c r="M649" s="847" t="s">
        <v>3023</v>
      </c>
    </row>
    <row r="650" spans="13:13" x14ac:dyDescent="0.35">
      <c r="M650" s="847" t="s">
        <v>3024</v>
      </c>
    </row>
    <row r="651" spans="13:13" x14ac:dyDescent="0.35">
      <c r="M651" s="847" t="s">
        <v>3025</v>
      </c>
    </row>
    <row r="652" spans="13:13" x14ac:dyDescent="0.35">
      <c r="M652" s="847" t="s">
        <v>3026</v>
      </c>
    </row>
    <row r="653" spans="13:13" x14ac:dyDescent="0.35">
      <c r="M653" s="847" t="s">
        <v>3027</v>
      </c>
    </row>
    <row r="654" spans="13:13" x14ac:dyDescent="0.35">
      <c r="M654" s="847" t="s">
        <v>3028</v>
      </c>
    </row>
    <row r="655" spans="13:13" x14ac:dyDescent="0.35">
      <c r="M655" s="847" t="s">
        <v>3029</v>
      </c>
    </row>
    <row r="656" spans="13:13" x14ac:dyDescent="0.35">
      <c r="M656" s="847" t="s">
        <v>3030</v>
      </c>
    </row>
    <row r="657" spans="13:13" x14ac:dyDescent="0.35">
      <c r="M657" s="847" t="s">
        <v>3031</v>
      </c>
    </row>
    <row r="658" spans="13:13" x14ac:dyDescent="0.35">
      <c r="M658" s="847" t="s">
        <v>3032</v>
      </c>
    </row>
    <row r="659" spans="13:13" x14ac:dyDescent="0.35">
      <c r="M659" s="847" t="s">
        <v>3033</v>
      </c>
    </row>
    <row r="660" spans="13:13" x14ac:dyDescent="0.35">
      <c r="M660" s="847" t="s">
        <v>3034</v>
      </c>
    </row>
    <row r="661" spans="13:13" x14ac:dyDescent="0.35">
      <c r="M661" s="847" t="s">
        <v>3035</v>
      </c>
    </row>
    <row r="662" spans="13:13" x14ac:dyDescent="0.35">
      <c r="M662" s="847" t="s">
        <v>3036</v>
      </c>
    </row>
    <row r="663" spans="13:13" x14ac:dyDescent="0.35">
      <c r="M663" s="847" t="s">
        <v>3037</v>
      </c>
    </row>
    <row r="664" spans="13:13" x14ac:dyDescent="0.35">
      <c r="M664" s="847" t="s">
        <v>3038</v>
      </c>
    </row>
    <row r="665" spans="13:13" x14ac:dyDescent="0.35">
      <c r="M665" s="847" t="s">
        <v>3039</v>
      </c>
    </row>
    <row r="666" spans="13:13" x14ac:dyDescent="0.35">
      <c r="M666" s="847" t="s">
        <v>3040</v>
      </c>
    </row>
    <row r="667" spans="13:13" x14ac:dyDescent="0.35">
      <c r="M667" s="847" t="s">
        <v>3041</v>
      </c>
    </row>
    <row r="668" spans="13:13" x14ac:dyDescent="0.35">
      <c r="M668" s="847" t="s">
        <v>3042</v>
      </c>
    </row>
    <row r="669" spans="13:13" x14ac:dyDescent="0.35">
      <c r="M669" s="847" t="s">
        <v>3043</v>
      </c>
    </row>
    <row r="670" spans="13:13" x14ac:dyDescent="0.35">
      <c r="M670" s="847" t="s">
        <v>3044</v>
      </c>
    </row>
    <row r="671" spans="13:13" x14ac:dyDescent="0.35">
      <c r="M671" s="847" t="s">
        <v>3045</v>
      </c>
    </row>
    <row r="672" spans="13:13" x14ac:dyDescent="0.35">
      <c r="M672" s="847" t="s">
        <v>3046</v>
      </c>
    </row>
    <row r="673" spans="13:13" x14ac:dyDescent="0.35">
      <c r="M673" s="847" t="s">
        <v>3047</v>
      </c>
    </row>
    <row r="674" spans="13:13" x14ac:dyDescent="0.35">
      <c r="M674" s="847" t="s">
        <v>3048</v>
      </c>
    </row>
    <row r="675" spans="13:13" x14ac:dyDescent="0.35">
      <c r="M675" s="847" t="s">
        <v>3049</v>
      </c>
    </row>
    <row r="676" spans="13:13" x14ac:dyDescent="0.35">
      <c r="M676" s="847" t="s">
        <v>3050</v>
      </c>
    </row>
    <row r="677" spans="13:13" x14ac:dyDescent="0.35">
      <c r="M677" s="847" t="s">
        <v>3051</v>
      </c>
    </row>
    <row r="678" spans="13:13" x14ac:dyDescent="0.35">
      <c r="M678" s="847" t="s">
        <v>3052</v>
      </c>
    </row>
    <row r="679" spans="13:13" x14ac:dyDescent="0.35">
      <c r="M679" s="847" t="s">
        <v>3053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4:C154"/>
  <sheetViews>
    <sheetView workbookViewId="0">
      <selection activeCell="I6" sqref="I6"/>
    </sheetView>
  </sheetViews>
  <sheetFormatPr defaultRowHeight="14.5" x14ac:dyDescent="0.35"/>
  <sheetData>
    <row r="4" spans="3:3" ht="17.5" customHeight="1" x14ac:dyDescent="0.35">
      <c r="C4" s="856" t="s">
        <v>3054</v>
      </c>
    </row>
    <row r="5" spans="3:3" x14ac:dyDescent="0.35">
      <c r="C5" s="226"/>
    </row>
    <row r="6" spans="3:3" x14ac:dyDescent="0.35">
      <c r="C6" s="226" t="s">
        <v>3055</v>
      </c>
    </row>
    <row r="7" spans="3:3" x14ac:dyDescent="0.35">
      <c r="C7" s="226"/>
    </row>
    <row r="8" spans="3:3" x14ac:dyDescent="0.35">
      <c r="C8" s="226" t="s">
        <v>3056</v>
      </c>
    </row>
    <row r="9" spans="3:3" x14ac:dyDescent="0.35">
      <c r="C9" s="226"/>
    </row>
    <row r="10" spans="3:3" x14ac:dyDescent="0.35">
      <c r="C10" s="226" t="s">
        <v>3057</v>
      </c>
    </row>
    <row r="11" spans="3:3" x14ac:dyDescent="0.35">
      <c r="C11" s="226"/>
    </row>
    <row r="12" spans="3:3" x14ac:dyDescent="0.35">
      <c r="C12" s="226"/>
    </row>
    <row r="13" spans="3:3" x14ac:dyDescent="0.35">
      <c r="C13" s="857"/>
    </row>
    <row r="14" spans="3:3" x14ac:dyDescent="0.35">
      <c r="C14" s="857" t="s">
        <v>3058</v>
      </c>
    </row>
    <row r="15" spans="3:3" x14ac:dyDescent="0.35">
      <c r="C15" s="857"/>
    </row>
    <row r="16" spans="3:3" x14ac:dyDescent="0.35">
      <c r="C16" s="857" t="s">
        <v>3059</v>
      </c>
    </row>
    <row r="17" spans="3:3" x14ac:dyDescent="0.35">
      <c r="C17" s="857"/>
    </row>
    <row r="18" spans="3:3" x14ac:dyDescent="0.35">
      <c r="C18" s="857" t="s">
        <v>3060</v>
      </c>
    </row>
    <row r="19" spans="3:3" x14ac:dyDescent="0.35">
      <c r="C19" s="857"/>
    </row>
    <row r="20" spans="3:3" x14ac:dyDescent="0.35">
      <c r="C20" s="857" t="s">
        <v>3061</v>
      </c>
    </row>
    <row r="21" spans="3:3" x14ac:dyDescent="0.35">
      <c r="C21" s="857"/>
    </row>
    <row r="22" spans="3:3" x14ac:dyDescent="0.35">
      <c r="C22" s="858" t="s">
        <v>3062</v>
      </c>
    </row>
    <row r="23" spans="3:3" x14ac:dyDescent="0.35">
      <c r="C23" s="857"/>
    </row>
    <row r="24" spans="3:3" x14ac:dyDescent="0.35">
      <c r="C24" s="857" t="s">
        <v>3063</v>
      </c>
    </row>
    <row r="25" spans="3:3" x14ac:dyDescent="0.35">
      <c r="C25" s="857"/>
    </row>
    <row r="26" spans="3:3" x14ac:dyDescent="0.35">
      <c r="C26" s="857"/>
    </row>
    <row r="27" spans="3:3" x14ac:dyDescent="0.35">
      <c r="C27" s="859"/>
    </row>
    <row r="28" spans="3:3" x14ac:dyDescent="0.35">
      <c r="C28" s="859" t="s">
        <v>3064</v>
      </c>
    </row>
    <row r="29" spans="3:3" x14ac:dyDescent="0.35">
      <c r="C29" s="859"/>
    </row>
    <row r="30" spans="3:3" x14ac:dyDescent="0.35">
      <c r="C30" s="859" t="s">
        <v>3065</v>
      </c>
    </row>
    <row r="31" spans="3:3" x14ac:dyDescent="0.35">
      <c r="C31" s="859"/>
    </row>
    <row r="32" spans="3:3" x14ac:dyDescent="0.35">
      <c r="C32" s="859" t="s">
        <v>3066</v>
      </c>
    </row>
    <row r="36" spans="3:3" ht="17.5" customHeight="1" x14ac:dyDescent="0.35">
      <c r="C36" s="856" t="s">
        <v>3067</v>
      </c>
    </row>
    <row r="38" spans="3:3" x14ac:dyDescent="0.35">
      <c r="C38" t="s">
        <v>3068</v>
      </c>
    </row>
    <row r="39" spans="3:3" x14ac:dyDescent="0.35">
      <c r="C39" s="226"/>
    </row>
    <row r="40" spans="3:3" x14ac:dyDescent="0.35">
      <c r="C40" s="758" t="s">
        <v>3069</v>
      </c>
    </row>
    <row r="41" spans="3:3" x14ac:dyDescent="0.35">
      <c r="C41" s="226"/>
    </row>
    <row r="42" spans="3:3" x14ac:dyDescent="0.35">
      <c r="C42" s="758" t="s">
        <v>3070</v>
      </c>
    </row>
    <row r="43" spans="3:3" x14ac:dyDescent="0.35">
      <c r="C43" s="226"/>
    </row>
    <row r="44" spans="3:3" x14ac:dyDescent="0.35">
      <c r="C44" s="758" t="s">
        <v>3071</v>
      </c>
    </row>
    <row r="45" spans="3:3" x14ac:dyDescent="0.35">
      <c r="C45" s="226"/>
    </row>
    <row r="46" spans="3:3" x14ac:dyDescent="0.35">
      <c r="C46" s="758" t="s">
        <v>3072</v>
      </c>
    </row>
    <row r="47" spans="3:3" x14ac:dyDescent="0.35">
      <c r="C47" s="226"/>
    </row>
    <row r="48" spans="3:3" x14ac:dyDescent="0.35">
      <c r="C48" s="758" t="s">
        <v>3073</v>
      </c>
    </row>
    <row r="49" spans="3:3" x14ac:dyDescent="0.35">
      <c r="C49" s="226"/>
    </row>
    <row r="50" spans="3:3" x14ac:dyDescent="0.35">
      <c r="C50" s="758" t="s">
        <v>3074</v>
      </c>
    </row>
    <row r="54" spans="3:3" ht="17.5" customHeight="1" x14ac:dyDescent="0.35">
      <c r="C54" s="856" t="s">
        <v>3075</v>
      </c>
    </row>
    <row r="55" spans="3:3" x14ac:dyDescent="0.35">
      <c r="C55" s="226"/>
    </row>
    <row r="56" spans="3:3" x14ac:dyDescent="0.35">
      <c r="C56" s="226" t="s">
        <v>3076</v>
      </c>
    </row>
    <row r="57" spans="3:3" x14ac:dyDescent="0.35">
      <c r="C57" s="226"/>
    </row>
    <row r="58" spans="3:3" x14ac:dyDescent="0.35">
      <c r="C58" s="226" t="s">
        <v>3077</v>
      </c>
    </row>
    <row r="59" spans="3:3" x14ac:dyDescent="0.35">
      <c r="C59" s="226"/>
    </row>
    <row r="60" spans="3:3" x14ac:dyDescent="0.35">
      <c r="C60" s="226" t="s">
        <v>3078</v>
      </c>
    </row>
    <row r="61" spans="3:3" x14ac:dyDescent="0.35">
      <c r="C61" s="226"/>
    </row>
    <row r="62" spans="3:3" x14ac:dyDescent="0.35">
      <c r="C62" s="226" t="s">
        <v>3079</v>
      </c>
    </row>
    <row r="66" spans="3:3" ht="17.5" customHeight="1" x14ac:dyDescent="0.35">
      <c r="C66" s="856" t="s">
        <v>3080</v>
      </c>
    </row>
    <row r="67" spans="3:3" x14ac:dyDescent="0.35">
      <c r="C67" s="226"/>
    </row>
    <row r="68" spans="3:3" x14ac:dyDescent="0.35">
      <c r="C68" s="226" t="s">
        <v>3081</v>
      </c>
    </row>
    <row r="69" spans="3:3" x14ac:dyDescent="0.35">
      <c r="C69" s="226"/>
    </row>
    <row r="70" spans="3:3" x14ac:dyDescent="0.35">
      <c r="C70" s="226" t="s">
        <v>3082</v>
      </c>
    </row>
    <row r="71" spans="3:3" x14ac:dyDescent="0.35">
      <c r="C71" s="226"/>
    </row>
    <row r="72" spans="3:3" x14ac:dyDescent="0.35">
      <c r="C72" s="226" t="s">
        <v>3083</v>
      </c>
    </row>
    <row r="73" spans="3:3" x14ac:dyDescent="0.35">
      <c r="C73" s="226"/>
    </row>
    <row r="74" spans="3:3" x14ac:dyDescent="0.35">
      <c r="C74" s="226" t="s">
        <v>3084</v>
      </c>
    </row>
    <row r="75" spans="3:3" x14ac:dyDescent="0.35">
      <c r="C75" s="226"/>
    </row>
    <row r="76" spans="3:3" x14ac:dyDescent="0.35">
      <c r="C76" s="226" t="s">
        <v>3085</v>
      </c>
    </row>
    <row r="80" spans="3:3" ht="17.5" customHeight="1" x14ac:dyDescent="0.35">
      <c r="C80" s="856" t="s">
        <v>3086</v>
      </c>
    </row>
    <row r="81" spans="3:3" x14ac:dyDescent="0.35">
      <c r="C81" s="226"/>
    </row>
    <row r="82" spans="3:3" x14ac:dyDescent="0.35">
      <c r="C82" s="226" t="s">
        <v>3087</v>
      </c>
    </row>
    <row r="83" spans="3:3" x14ac:dyDescent="0.35">
      <c r="C83" s="226"/>
    </row>
    <row r="84" spans="3:3" x14ac:dyDescent="0.35">
      <c r="C84" s="226"/>
    </row>
    <row r="85" spans="3:3" x14ac:dyDescent="0.35">
      <c r="C85" s="857"/>
    </row>
    <row r="86" spans="3:3" x14ac:dyDescent="0.35">
      <c r="C86" s="857" t="s">
        <v>3088</v>
      </c>
    </row>
    <row r="87" spans="3:3" x14ac:dyDescent="0.35">
      <c r="C87" s="857"/>
    </row>
    <row r="88" spans="3:3" x14ac:dyDescent="0.35">
      <c r="C88" s="857" t="s">
        <v>3089</v>
      </c>
    </row>
    <row r="89" spans="3:3" x14ac:dyDescent="0.35">
      <c r="C89" s="857"/>
    </row>
    <row r="90" spans="3:3" x14ac:dyDescent="0.35">
      <c r="C90" s="857" t="s">
        <v>3090</v>
      </c>
    </row>
    <row r="91" spans="3:3" x14ac:dyDescent="0.35">
      <c r="C91" s="857"/>
    </row>
    <row r="92" spans="3:3" x14ac:dyDescent="0.35">
      <c r="C92" s="857" t="s">
        <v>3091</v>
      </c>
    </row>
    <row r="93" spans="3:3" x14ac:dyDescent="0.35">
      <c r="C93" s="226"/>
    </row>
    <row r="94" spans="3:3" x14ac:dyDescent="0.35">
      <c r="C94" s="226" t="s">
        <v>3092</v>
      </c>
    </row>
    <row r="95" spans="3:3" x14ac:dyDescent="0.35">
      <c r="C95" s="226"/>
    </row>
    <row r="96" spans="3:3" x14ac:dyDescent="0.35">
      <c r="C96" s="226"/>
    </row>
    <row r="97" spans="3:3" x14ac:dyDescent="0.35">
      <c r="C97" s="857"/>
    </row>
    <row r="98" spans="3:3" x14ac:dyDescent="0.35">
      <c r="C98" s="857" t="s">
        <v>3093</v>
      </c>
    </row>
    <row r="99" spans="3:3" x14ac:dyDescent="0.35">
      <c r="C99" s="857"/>
    </row>
    <row r="100" spans="3:3" x14ac:dyDescent="0.35">
      <c r="C100" s="857" t="s">
        <v>3094</v>
      </c>
    </row>
    <row r="101" spans="3:3" x14ac:dyDescent="0.35">
      <c r="C101" s="857"/>
    </row>
    <row r="102" spans="3:3" x14ac:dyDescent="0.35">
      <c r="C102" s="857" t="s">
        <v>3095</v>
      </c>
    </row>
    <row r="103" spans="3:3" x14ac:dyDescent="0.35">
      <c r="C103" s="857"/>
    </row>
    <row r="104" spans="3:3" x14ac:dyDescent="0.35">
      <c r="C104" s="857" t="s">
        <v>3096</v>
      </c>
    </row>
    <row r="108" spans="3:3" ht="17.5" customHeight="1" x14ac:dyDescent="0.35">
      <c r="C108" s="856" t="s">
        <v>3097</v>
      </c>
    </row>
    <row r="109" spans="3:3" x14ac:dyDescent="0.35">
      <c r="C109" s="226"/>
    </row>
    <row r="110" spans="3:3" x14ac:dyDescent="0.35">
      <c r="C110" s="226" t="s">
        <v>3098</v>
      </c>
    </row>
    <row r="111" spans="3:3" x14ac:dyDescent="0.35">
      <c r="C111" s="226"/>
    </row>
    <row r="112" spans="3:3" x14ac:dyDescent="0.35">
      <c r="C112" s="226" t="s">
        <v>3099</v>
      </c>
    </row>
    <row r="113" spans="3:3" x14ac:dyDescent="0.35">
      <c r="C113" s="226"/>
    </row>
    <row r="114" spans="3:3" x14ac:dyDescent="0.35">
      <c r="C114" s="758" t="s">
        <v>3100</v>
      </c>
    </row>
    <row r="115" spans="3:3" x14ac:dyDescent="0.35">
      <c r="C115" s="226"/>
    </row>
    <row r="116" spans="3:3" x14ac:dyDescent="0.35">
      <c r="C116" s="226"/>
    </row>
    <row r="117" spans="3:3" x14ac:dyDescent="0.35">
      <c r="C117" s="857"/>
    </row>
    <row r="118" spans="3:3" x14ac:dyDescent="0.35">
      <c r="C118" s="857" t="s">
        <v>3101</v>
      </c>
    </row>
    <row r="119" spans="3:3" x14ac:dyDescent="0.35">
      <c r="C119" s="857"/>
    </row>
    <row r="120" spans="3:3" x14ac:dyDescent="0.35">
      <c r="C120" s="857" t="s">
        <v>3102</v>
      </c>
    </row>
    <row r="124" spans="3:3" ht="17.5" customHeight="1" x14ac:dyDescent="0.35">
      <c r="C124" s="856" t="s">
        <v>3103</v>
      </c>
    </row>
    <row r="125" spans="3:3" x14ac:dyDescent="0.35">
      <c r="C125" s="226"/>
    </row>
    <row r="126" spans="3:3" x14ac:dyDescent="0.35">
      <c r="C126" s="758" t="s">
        <v>3104</v>
      </c>
    </row>
    <row r="127" spans="3:3" x14ac:dyDescent="0.35">
      <c r="C127" s="226"/>
    </row>
    <row r="128" spans="3:3" x14ac:dyDescent="0.35">
      <c r="C128" s="226"/>
    </row>
    <row r="129" spans="3:3" x14ac:dyDescent="0.35">
      <c r="C129" s="857"/>
    </row>
    <row r="130" spans="3:3" x14ac:dyDescent="0.35">
      <c r="C130" s="857" t="s">
        <v>3105</v>
      </c>
    </row>
    <row r="131" spans="3:3" x14ac:dyDescent="0.35">
      <c r="C131" s="857"/>
    </row>
    <row r="132" spans="3:3" x14ac:dyDescent="0.35">
      <c r="C132" s="857" t="s">
        <v>3106</v>
      </c>
    </row>
    <row r="133" spans="3:3" x14ac:dyDescent="0.35">
      <c r="C133" s="857"/>
    </row>
    <row r="134" spans="3:3" x14ac:dyDescent="0.35">
      <c r="C134" s="857" t="s">
        <v>3107</v>
      </c>
    </row>
    <row r="135" spans="3:3" x14ac:dyDescent="0.35">
      <c r="C135" s="857"/>
    </row>
    <row r="136" spans="3:3" x14ac:dyDescent="0.35">
      <c r="C136" s="857" t="s">
        <v>3108</v>
      </c>
    </row>
    <row r="137" spans="3:3" x14ac:dyDescent="0.35">
      <c r="C137" s="226"/>
    </row>
    <row r="138" spans="3:3" x14ac:dyDescent="0.35">
      <c r="C138" s="226" t="s">
        <v>3109</v>
      </c>
    </row>
    <row r="142" spans="3:3" ht="17.5" customHeight="1" x14ac:dyDescent="0.35">
      <c r="C142" s="856" t="s">
        <v>3110</v>
      </c>
    </row>
    <row r="143" spans="3:3" x14ac:dyDescent="0.35">
      <c r="C143" s="226"/>
    </row>
    <row r="144" spans="3:3" x14ac:dyDescent="0.35">
      <c r="C144" s="226" t="s">
        <v>3111</v>
      </c>
    </row>
    <row r="145" spans="3:3" x14ac:dyDescent="0.35">
      <c r="C145" s="226"/>
    </row>
    <row r="146" spans="3:3" x14ac:dyDescent="0.35">
      <c r="C146" s="226" t="s">
        <v>3112</v>
      </c>
    </row>
    <row r="147" spans="3:3" x14ac:dyDescent="0.35">
      <c r="C147" s="226"/>
    </row>
    <row r="148" spans="3:3" x14ac:dyDescent="0.35">
      <c r="C148" s="226" t="s">
        <v>3113</v>
      </c>
    </row>
    <row r="149" spans="3:3" x14ac:dyDescent="0.35">
      <c r="C149" s="226"/>
    </row>
    <row r="150" spans="3:3" x14ac:dyDescent="0.35">
      <c r="C150" s="226" t="s">
        <v>3114</v>
      </c>
    </row>
    <row r="151" spans="3:3" x14ac:dyDescent="0.35">
      <c r="C151" s="226"/>
    </row>
    <row r="152" spans="3:3" x14ac:dyDescent="0.35">
      <c r="C152" s="226" t="s">
        <v>3115</v>
      </c>
    </row>
    <row r="153" spans="3:3" x14ac:dyDescent="0.35">
      <c r="C153" s="226"/>
    </row>
    <row r="154" spans="3:3" x14ac:dyDescent="0.35">
      <c r="C154" s="226" t="s">
        <v>3116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AH36"/>
  <sheetViews>
    <sheetView view="pageBreakPreview" zoomScaleNormal="70" zoomScaleSheetLayoutView="100" workbookViewId="0">
      <selection activeCell="F23" sqref="F23"/>
    </sheetView>
  </sheetViews>
  <sheetFormatPr defaultColWidth="9.1796875" defaultRowHeight="14.5" x14ac:dyDescent="0.35"/>
  <cols>
    <col min="1" max="1" width="4.81640625" style="1" customWidth="1"/>
    <col min="2" max="2" width="11.7265625" style="1" bestFit="1" customWidth="1"/>
    <col min="3" max="3" width="12.26953125" style="1" bestFit="1" customWidth="1"/>
    <col min="4" max="4" width="8.26953125" style="1" bestFit="1" customWidth="1"/>
    <col min="5" max="5" width="5.26953125" style="1" bestFit="1" customWidth="1"/>
    <col min="6" max="6" width="8.1796875" style="1" customWidth="1"/>
    <col min="7" max="7" width="8.26953125" style="1" bestFit="1" customWidth="1"/>
    <col min="8" max="9" width="5.453125" style="1" bestFit="1" customWidth="1"/>
    <col min="10" max="10" width="5.81640625" style="1" bestFit="1" customWidth="1"/>
    <col min="11" max="11" width="5.453125" style="1" bestFit="1" customWidth="1"/>
    <col min="12" max="12" width="7.54296875" style="1" bestFit="1" customWidth="1"/>
    <col min="13" max="13" width="5.26953125" style="1" bestFit="1" customWidth="1"/>
    <col min="14" max="14" width="5.81640625" style="1" bestFit="1" customWidth="1"/>
    <col min="15" max="15" width="5.26953125" style="1" bestFit="1" customWidth="1"/>
    <col min="16" max="22" width="9.1796875" style="1" customWidth="1"/>
    <col min="23" max="23" width="11.7265625" style="1" bestFit="1" customWidth="1"/>
    <col min="24" max="24" width="12" style="1" bestFit="1" customWidth="1"/>
    <col min="25" max="25" width="9.1796875" style="1" customWidth="1"/>
    <col min="26" max="16384" width="9.1796875" style="1"/>
  </cols>
  <sheetData>
    <row r="1" spans="1:17" x14ac:dyDescent="0.35">
      <c r="A1" s="205"/>
      <c r="B1" s="205" t="s">
        <v>3117</v>
      </c>
      <c r="C1" s="210">
        <v>18.28</v>
      </c>
      <c r="D1" s="209" t="s">
        <v>465</v>
      </c>
      <c r="E1" s="205"/>
      <c r="F1" s="205"/>
      <c r="G1" s="205"/>
      <c r="H1" s="205"/>
      <c r="I1" s="205"/>
      <c r="J1" s="205"/>
      <c r="K1" s="205"/>
      <c r="L1" s="205"/>
      <c r="M1" s="205"/>
      <c r="N1" s="205"/>
      <c r="O1" s="205"/>
      <c r="P1" s="205"/>
      <c r="Q1" s="205"/>
    </row>
    <row r="2" spans="1:17" x14ac:dyDescent="0.35">
      <c r="A2" s="205"/>
      <c r="B2" s="205"/>
      <c r="C2" s="205"/>
      <c r="D2" s="205"/>
      <c r="E2" s="205"/>
      <c r="F2" s="205"/>
      <c r="G2" s="205"/>
      <c r="H2" s="205"/>
      <c r="I2" s="205"/>
      <c r="J2" s="205"/>
      <c r="K2" s="205"/>
      <c r="L2" s="205"/>
      <c r="M2" s="205"/>
      <c r="N2" s="205"/>
      <c r="O2" s="205"/>
      <c r="P2" s="205"/>
      <c r="Q2" s="205"/>
    </row>
    <row r="3" spans="1:17" x14ac:dyDescent="0.35">
      <c r="A3" s="205"/>
      <c r="B3" s="1155" t="s">
        <v>633</v>
      </c>
      <c r="C3" s="1155" t="s">
        <v>634</v>
      </c>
      <c r="D3" s="1155" t="s">
        <v>3118</v>
      </c>
      <c r="E3" s="1156"/>
      <c r="F3" s="1156"/>
      <c r="G3" s="1156"/>
      <c r="H3" s="1156"/>
      <c r="I3" s="1156"/>
      <c r="J3" s="1156"/>
      <c r="K3" s="1156"/>
      <c r="L3" s="1156"/>
      <c r="M3" s="1156"/>
      <c r="N3" s="1156"/>
      <c r="O3" s="1157"/>
      <c r="P3" s="205"/>
      <c r="Q3" s="205"/>
    </row>
    <row r="4" spans="1:17" x14ac:dyDescent="0.35">
      <c r="A4" s="205"/>
      <c r="B4" s="1151"/>
      <c r="C4" s="1151"/>
      <c r="D4" s="1155" t="s">
        <v>3119</v>
      </c>
      <c r="E4" s="1156"/>
      <c r="F4" s="1156"/>
      <c r="G4" s="1156"/>
      <c r="H4" s="1156"/>
      <c r="I4" s="1156"/>
      <c r="J4" s="1156"/>
      <c r="K4" s="1156"/>
      <c r="L4" s="1156"/>
      <c r="M4" s="1156"/>
      <c r="N4" s="1156"/>
      <c r="O4" s="1157"/>
      <c r="P4" s="205"/>
      <c r="Q4" s="205"/>
    </row>
    <row r="5" spans="1:17" x14ac:dyDescent="0.35">
      <c r="A5" s="205"/>
      <c r="B5" s="1152"/>
      <c r="C5" s="1152"/>
      <c r="D5" s="812">
        <v>1</v>
      </c>
      <c r="E5" s="812" t="s">
        <v>535</v>
      </c>
      <c r="F5" s="812">
        <v>2</v>
      </c>
      <c r="G5" s="812" t="s">
        <v>538</v>
      </c>
      <c r="H5" s="812">
        <v>3</v>
      </c>
      <c r="I5" s="812" t="s">
        <v>542</v>
      </c>
      <c r="J5" s="812">
        <v>4</v>
      </c>
      <c r="K5" s="812" t="s">
        <v>543</v>
      </c>
      <c r="L5" s="812">
        <v>5</v>
      </c>
      <c r="M5" s="812" t="s">
        <v>545</v>
      </c>
      <c r="N5" s="812">
        <v>6</v>
      </c>
      <c r="O5" s="812" t="s">
        <v>547</v>
      </c>
      <c r="P5" s="205"/>
      <c r="Q5" s="205"/>
    </row>
    <row r="6" spans="1:17" x14ac:dyDescent="0.35">
      <c r="A6" s="205"/>
      <c r="B6" s="1155" t="s">
        <v>381</v>
      </c>
      <c r="C6" s="811">
        <v>5</v>
      </c>
      <c r="D6" s="811">
        <v>0.75</v>
      </c>
      <c r="E6" s="811">
        <v>1.1499999999999999</v>
      </c>
      <c r="F6" s="811">
        <v>-1.3</v>
      </c>
      <c r="G6" s="811">
        <v>-2</v>
      </c>
      <c r="H6" s="811">
        <v>-0.7</v>
      </c>
      <c r="I6" s="811">
        <v>-1</v>
      </c>
      <c r="J6" s="811">
        <v>-0.55000000000000004</v>
      </c>
      <c r="K6" s="811">
        <v>-0.8</v>
      </c>
      <c r="L6" s="811">
        <v>0</v>
      </c>
      <c r="M6" s="811">
        <v>0</v>
      </c>
      <c r="N6" s="811">
        <v>0</v>
      </c>
      <c r="O6" s="811">
        <v>0</v>
      </c>
      <c r="P6" s="205"/>
      <c r="Q6" s="205"/>
    </row>
    <row r="7" spans="1:17" x14ac:dyDescent="0.35">
      <c r="A7" s="205"/>
      <c r="B7" s="1151"/>
      <c r="C7" s="811">
        <v>20</v>
      </c>
      <c r="D7" s="811">
        <v>1</v>
      </c>
      <c r="E7" s="811">
        <v>1.5</v>
      </c>
      <c r="F7" s="811">
        <v>-1.3</v>
      </c>
      <c r="G7" s="811">
        <v>-2</v>
      </c>
      <c r="H7" s="811">
        <v>-0.9</v>
      </c>
      <c r="I7" s="811">
        <v>-1.3</v>
      </c>
      <c r="J7" s="811">
        <v>-0.8</v>
      </c>
      <c r="K7" s="811">
        <v>-1.2</v>
      </c>
      <c r="L7" s="811">
        <v>0</v>
      </c>
      <c r="M7" s="811">
        <v>0</v>
      </c>
      <c r="N7" s="811">
        <v>0</v>
      </c>
      <c r="O7" s="811">
        <v>0</v>
      </c>
      <c r="P7" s="205"/>
      <c r="Q7" s="205"/>
    </row>
    <row r="8" spans="1:17" x14ac:dyDescent="0.35">
      <c r="A8" s="205"/>
      <c r="B8" s="1152"/>
      <c r="C8" s="813">
        <f>C1</f>
        <v>18.28</v>
      </c>
      <c r="D8" s="814">
        <f t="shared" ref="D8:O8" si="0">FORECAST($C$1,D6:D7,$C$6:$C$7)</f>
        <v>0.97133333333333338</v>
      </c>
      <c r="E8" s="814">
        <f t="shared" si="0"/>
        <v>1.4598666666666666</v>
      </c>
      <c r="F8" s="814">
        <f t="shared" si="0"/>
        <v>-1.3</v>
      </c>
      <c r="G8" s="814">
        <f t="shared" si="0"/>
        <v>-2</v>
      </c>
      <c r="H8" s="814">
        <f t="shared" si="0"/>
        <v>-0.87706666666666677</v>
      </c>
      <c r="I8" s="814">
        <f t="shared" si="0"/>
        <v>-1.2656000000000001</v>
      </c>
      <c r="J8" s="814">
        <f t="shared" si="0"/>
        <v>-0.77133333333333343</v>
      </c>
      <c r="K8" s="814">
        <f t="shared" si="0"/>
        <v>-1.1541333333333332</v>
      </c>
      <c r="L8" s="814">
        <f t="shared" si="0"/>
        <v>0</v>
      </c>
      <c r="M8" s="814">
        <f t="shared" si="0"/>
        <v>0</v>
      </c>
      <c r="N8" s="814">
        <f t="shared" si="0"/>
        <v>0</v>
      </c>
      <c r="O8" s="814">
        <f t="shared" si="0"/>
        <v>0</v>
      </c>
      <c r="P8" s="205"/>
      <c r="Q8" s="205"/>
    </row>
    <row r="9" spans="1:17" x14ac:dyDescent="0.35">
      <c r="A9" s="205"/>
      <c r="B9" s="811" t="s">
        <v>550</v>
      </c>
      <c r="C9" s="811" t="s">
        <v>3120</v>
      </c>
      <c r="D9" s="811">
        <v>-0.85</v>
      </c>
      <c r="E9" s="811">
        <v>-0.9</v>
      </c>
      <c r="F9" s="811">
        <v>-1.3</v>
      </c>
      <c r="G9" s="811">
        <v>-2</v>
      </c>
      <c r="H9" s="811">
        <v>-0.7</v>
      </c>
      <c r="I9" s="811">
        <v>-1</v>
      </c>
      <c r="J9" s="811">
        <v>-0.85</v>
      </c>
      <c r="K9" s="811">
        <v>-0.9</v>
      </c>
      <c r="L9" s="811">
        <v>0.75</v>
      </c>
      <c r="M9" s="811">
        <v>1.1499999999999999</v>
      </c>
      <c r="N9" s="811">
        <v>-0.55000000000000004</v>
      </c>
      <c r="O9" s="811">
        <v>-0.8</v>
      </c>
      <c r="P9" s="205"/>
      <c r="Q9" s="205"/>
    </row>
    <row r="10" spans="1:17" x14ac:dyDescent="0.35">
      <c r="A10" s="205"/>
      <c r="B10" s="205"/>
      <c r="C10" s="205"/>
      <c r="D10" s="205"/>
      <c r="E10" s="205"/>
      <c r="F10" s="205"/>
      <c r="G10" s="205"/>
      <c r="H10" s="205"/>
      <c r="I10" s="205"/>
      <c r="J10" s="205"/>
      <c r="K10" s="205"/>
      <c r="L10" s="205"/>
      <c r="M10" s="205"/>
      <c r="N10" s="205"/>
      <c r="O10" s="205"/>
      <c r="P10" s="205"/>
      <c r="Q10" s="205"/>
    </row>
    <row r="11" spans="1:17" x14ac:dyDescent="0.35">
      <c r="A11" s="205"/>
      <c r="B11" s="205"/>
      <c r="C11" s="205"/>
      <c r="D11" s="205"/>
      <c r="E11" s="205"/>
      <c r="F11" s="205"/>
      <c r="G11" s="205"/>
      <c r="H11" s="205"/>
      <c r="I11" s="205"/>
      <c r="J11" s="205"/>
      <c r="K11" s="205"/>
      <c r="L11" s="205"/>
      <c r="M11" s="205"/>
      <c r="N11" s="205"/>
      <c r="O11" s="205"/>
      <c r="P11" s="205"/>
      <c r="Q11" s="205"/>
    </row>
    <row r="12" spans="1:17" x14ac:dyDescent="0.35">
      <c r="A12" s="205"/>
      <c r="B12" s="208" t="s">
        <v>3121</v>
      </c>
      <c r="C12" s="207">
        <v>6.75</v>
      </c>
      <c r="D12" s="207" t="s">
        <v>392</v>
      </c>
      <c r="E12" s="205"/>
      <c r="F12" s="205"/>
      <c r="G12" s="205"/>
      <c r="H12" s="205"/>
      <c r="I12" s="205"/>
      <c r="J12" s="205"/>
      <c r="K12" s="205"/>
      <c r="L12" s="205"/>
      <c r="M12" s="205"/>
      <c r="N12" s="205"/>
      <c r="O12" s="205"/>
      <c r="P12" s="205"/>
      <c r="Q12" s="205"/>
    </row>
    <row r="13" spans="1:17" x14ac:dyDescent="0.35">
      <c r="A13" s="205"/>
      <c r="B13" s="208" t="s">
        <v>3122</v>
      </c>
      <c r="C13" s="207">
        <v>4.5679999999999996</v>
      </c>
      <c r="D13" s="207" t="s">
        <v>392</v>
      </c>
      <c r="E13" s="205"/>
      <c r="F13" s="205"/>
      <c r="G13" s="205"/>
      <c r="H13" s="205"/>
      <c r="I13" s="205"/>
      <c r="J13" s="205"/>
      <c r="K13" s="205"/>
      <c r="L13" s="205"/>
      <c r="M13" s="205"/>
      <c r="N13" s="205"/>
      <c r="O13" s="205"/>
      <c r="P13" s="205"/>
      <c r="Q13" s="205"/>
    </row>
    <row r="14" spans="1:17" x14ac:dyDescent="0.35">
      <c r="A14" s="205"/>
      <c r="B14" s="1153" t="s">
        <v>3123</v>
      </c>
      <c r="C14" s="1154"/>
      <c r="D14" s="1154"/>
      <c r="E14" s="1154"/>
      <c r="F14" s="208">
        <f>MAX(MIN(0.1*C12,0.4*C13),0.04*C12,1)</f>
        <v>1</v>
      </c>
      <c r="G14" s="207" t="s">
        <v>392</v>
      </c>
      <c r="H14" s="205"/>
      <c r="I14" s="205"/>
      <c r="J14" s="205"/>
      <c r="K14" s="205"/>
      <c r="L14" s="205"/>
      <c r="M14" s="205"/>
      <c r="N14" s="205"/>
      <c r="O14" s="205"/>
      <c r="P14" s="205"/>
      <c r="Q14" s="205"/>
    </row>
    <row r="15" spans="1:17" x14ac:dyDescent="0.35">
      <c r="A15" s="205"/>
      <c r="B15" s="1153" t="s">
        <v>3124</v>
      </c>
      <c r="C15" s="1154"/>
      <c r="D15" s="1154"/>
      <c r="E15" s="1154"/>
      <c r="F15" s="208">
        <f>MAX(6,2*F14)</f>
        <v>6</v>
      </c>
      <c r="G15" s="207" t="s">
        <v>392</v>
      </c>
      <c r="H15" s="205"/>
      <c r="I15" s="205"/>
      <c r="J15" s="205"/>
      <c r="K15" s="205"/>
      <c r="L15" s="205"/>
      <c r="M15" s="205"/>
      <c r="N15" s="205"/>
      <c r="O15" s="205"/>
      <c r="P15" s="205"/>
      <c r="Q15" s="205"/>
    </row>
    <row r="16" spans="1:17" x14ac:dyDescent="0.35">
      <c r="A16" s="205"/>
      <c r="B16" s="205"/>
      <c r="C16" s="205"/>
      <c r="D16" s="205"/>
      <c r="E16" s="205"/>
      <c r="F16" s="205"/>
      <c r="G16" s="205"/>
      <c r="H16" s="205"/>
      <c r="I16" s="205"/>
      <c r="J16" s="205"/>
      <c r="K16" s="205"/>
      <c r="L16" s="205"/>
      <c r="M16" s="205"/>
      <c r="N16" s="205"/>
      <c r="O16" s="205"/>
      <c r="P16" s="205"/>
      <c r="Q16" s="205"/>
    </row>
    <row r="17" spans="1:34" x14ac:dyDescent="0.35">
      <c r="A17" s="205"/>
      <c r="B17" s="205"/>
      <c r="C17" s="205"/>
      <c r="D17" s="205"/>
      <c r="E17" s="205"/>
      <c r="F17" s="205"/>
      <c r="G17" s="205"/>
      <c r="H17" s="205"/>
      <c r="I17" s="205"/>
      <c r="J17" s="205"/>
      <c r="K17" s="205"/>
      <c r="L17" s="205"/>
      <c r="M17" s="205"/>
      <c r="N17" s="205"/>
      <c r="O17" s="205"/>
      <c r="P17" s="205"/>
      <c r="Q17" s="205"/>
      <c r="AG17" s="1" t="s">
        <v>3125</v>
      </c>
      <c r="AH17" s="1">
        <f>ATAN(1.175/(0.5*6.75))*180/PI()</f>
        <v>19.195467600052876</v>
      </c>
    </row>
    <row r="18" spans="1:34" x14ac:dyDescent="0.35">
      <c r="A18" s="205"/>
      <c r="B18" s="205"/>
      <c r="C18" s="205"/>
      <c r="D18" s="205"/>
      <c r="E18" s="205"/>
      <c r="F18" s="205"/>
      <c r="G18" s="205"/>
      <c r="H18" s="205"/>
      <c r="I18" s="205"/>
      <c r="J18" s="205"/>
      <c r="K18" s="205"/>
      <c r="L18" s="205"/>
      <c r="M18" s="205"/>
      <c r="N18" s="205"/>
      <c r="O18" s="205"/>
      <c r="P18" s="205"/>
      <c r="Q18" s="205"/>
    </row>
    <row r="19" spans="1:34" ht="16.5" customHeight="1" x14ac:dyDescent="0.35">
      <c r="A19" s="205"/>
      <c r="B19" s="1155" t="s">
        <v>633</v>
      </c>
      <c r="C19" s="1155" t="s">
        <v>634</v>
      </c>
      <c r="D19" s="1155" t="s">
        <v>3126</v>
      </c>
      <c r="E19" s="1156"/>
      <c r="F19" s="1156"/>
      <c r="G19" s="1156"/>
      <c r="H19" s="1156"/>
      <c r="I19" s="1156"/>
      <c r="J19" s="1156"/>
      <c r="K19" s="1156"/>
      <c r="L19" s="1156"/>
      <c r="M19" s="1156"/>
      <c r="N19" s="1156"/>
      <c r="O19" s="1157"/>
      <c r="P19" s="205"/>
      <c r="Q19" s="205"/>
    </row>
    <row r="20" spans="1:34" x14ac:dyDescent="0.35">
      <c r="A20" s="205"/>
      <c r="B20" s="1151"/>
      <c r="C20" s="1151"/>
      <c r="D20" s="1155" t="s">
        <v>3119</v>
      </c>
      <c r="E20" s="1156"/>
      <c r="F20" s="1156"/>
      <c r="G20" s="1156"/>
      <c r="H20" s="1156"/>
      <c r="I20" s="1156"/>
      <c r="J20" s="1156"/>
      <c r="K20" s="1156"/>
      <c r="L20" s="1156"/>
      <c r="M20" s="1156"/>
      <c r="N20" s="1156"/>
      <c r="O20" s="1157"/>
      <c r="P20" s="205"/>
      <c r="Q20" s="205"/>
    </row>
    <row r="21" spans="1:34" x14ac:dyDescent="0.35">
      <c r="A21" s="205"/>
      <c r="B21" s="1152"/>
      <c r="C21" s="1152"/>
      <c r="D21" s="812">
        <v>1</v>
      </c>
      <c r="E21" s="812" t="s">
        <v>535</v>
      </c>
      <c r="F21" s="812">
        <v>2</v>
      </c>
      <c r="G21" s="812" t="s">
        <v>538</v>
      </c>
      <c r="H21" s="812">
        <v>3</v>
      </c>
      <c r="I21" s="812" t="s">
        <v>542</v>
      </c>
      <c r="J21" s="812">
        <v>4</v>
      </c>
      <c r="K21" s="812" t="s">
        <v>543</v>
      </c>
      <c r="L21" s="812">
        <v>5</v>
      </c>
      <c r="M21" s="812" t="s">
        <v>545</v>
      </c>
      <c r="N21" s="812">
        <v>6</v>
      </c>
      <c r="O21" s="812" t="s">
        <v>547</v>
      </c>
      <c r="P21" s="205"/>
      <c r="Q21" s="205"/>
    </row>
    <row r="22" spans="1:34" x14ac:dyDescent="0.35">
      <c r="A22" s="205"/>
      <c r="B22" s="1150" t="s">
        <v>3127</v>
      </c>
      <c r="C22" s="811">
        <v>5</v>
      </c>
      <c r="D22" s="814">
        <f>'[2]Wind,Snow,seismic'!$S$151*'Wind Distributation'!D6</f>
        <v>0.37728830096980082</v>
      </c>
      <c r="E22" s="814">
        <f>'[2]Wind,Snow,seismic'!$S$151*'Wind Distributation'!E6</f>
        <v>0.57850872815369458</v>
      </c>
      <c r="F22" s="814">
        <f>'[2]Wind,Snow,seismic'!$S$151*'Wind Distributation'!F6</f>
        <v>-0.65396638834765475</v>
      </c>
      <c r="G22" s="814">
        <f>'[2]Wind,Snow,seismic'!$S$151*'Wind Distributation'!G6</f>
        <v>-1.0061021359194688</v>
      </c>
      <c r="H22" s="814">
        <f>'[2]Wind,Snow,seismic'!$S$151*'Wind Distributation'!H6</f>
        <v>-0.3521357475718141</v>
      </c>
      <c r="I22" s="814">
        <f>'[2]Wind,Snow,seismic'!$S$151*'Wind Distributation'!I6</f>
        <v>-0.50305106795973442</v>
      </c>
      <c r="J22" s="814">
        <f>'[2]Wind,Snow,seismic'!$S$151*'Wind Distributation'!J6</f>
        <v>-0.27667808737785393</v>
      </c>
      <c r="K22" s="814">
        <f>'[2]Wind,Snow,seismic'!$S$151*'Wind Distributation'!K6</f>
        <v>-0.40244085436778754</v>
      </c>
      <c r="L22" s="814">
        <f>'[2]Wind,Snow,seismic'!$S$151*'Wind Distributation'!L6</f>
        <v>0</v>
      </c>
      <c r="M22" s="814">
        <f>'[2]Wind,Snow,seismic'!$S$151*'Wind Distributation'!M6</f>
        <v>0</v>
      </c>
      <c r="N22" s="814">
        <f>'[2]Wind,Snow,seismic'!$S$151*'Wind Distributation'!N6</f>
        <v>0</v>
      </c>
      <c r="O22" s="814">
        <f>'[2]Wind,Snow,seismic'!$S$151*'Wind Distributation'!O6</f>
        <v>0</v>
      </c>
      <c r="P22" s="205"/>
      <c r="Q22" s="205"/>
    </row>
    <row r="23" spans="1:34" x14ac:dyDescent="0.35">
      <c r="A23" s="205"/>
      <c r="B23" s="1151"/>
      <c r="C23" s="811">
        <v>20</v>
      </c>
      <c r="D23" s="814">
        <f>'[2]Wind,Snow,seismic'!$S$151*'Wind Distributation'!D7</f>
        <v>0.50305106795973442</v>
      </c>
      <c r="E23" s="814">
        <f>'[2]Wind,Snow,seismic'!$S$151*'Wind Distributation'!E7</f>
        <v>0.75457660193960163</v>
      </c>
      <c r="F23" s="814">
        <f>'[2]Wind,Snow,seismic'!$S$151*'Wind Distributation'!F7</f>
        <v>-0.65396638834765475</v>
      </c>
      <c r="G23" s="814">
        <f>'[2]Wind,Snow,seismic'!$S$151*'Wind Distributation'!G7</f>
        <v>-1.0061021359194688</v>
      </c>
      <c r="H23" s="814">
        <f>'[2]Wind,Snow,seismic'!$S$151*'Wind Distributation'!H7</f>
        <v>-0.45274596116376098</v>
      </c>
      <c r="I23" s="814">
        <f>'[2]Wind,Snow,seismic'!$S$151*'Wind Distributation'!I7</f>
        <v>-0.65396638834765475</v>
      </c>
      <c r="J23" s="814">
        <f>'[2]Wind,Snow,seismic'!$S$151*'Wind Distributation'!J7</f>
        <v>-0.40244085436778754</v>
      </c>
      <c r="K23" s="814">
        <f>'[2]Wind,Snow,seismic'!$S$151*'Wind Distributation'!K7</f>
        <v>-0.60366128155168131</v>
      </c>
      <c r="L23" s="814">
        <f>'[2]Wind,Snow,seismic'!$S$151*'Wind Distributation'!L7</f>
        <v>0</v>
      </c>
      <c r="M23" s="814">
        <f>'[2]Wind,Snow,seismic'!$S$151*'Wind Distributation'!M7</f>
        <v>0</v>
      </c>
      <c r="N23" s="814">
        <f>'[2]Wind,Snow,seismic'!$S$151*'Wind Distributation'!N7</f>
        <v>0</v>
      </c>
      <c r="O23" s="814">
        <f>'[2]Wind,Snow,seismic'!$S$151*'Wind Distributation'!O7</f>
        <v>0</v>
      </c>
      <c r="P23" s="205"/>
      <c r="Q23" s="205"/>
    </row>
    <row r="24" spans="1:34" x14ac:dyDescent="0.35">
      <c r="A24" s="205"/>
      <c r="B24" s="1152"/>
      <c r="C24" s="816">
        <f>$C$1</f>
        <v>18.28</v>
      </c>
      <c r="D24" s="816">
        <f>'[2]Wind,Snow,seismic'!$S$151*'Wind Distributation'!D8</f>
        <v>0.48863027067822207</v>
      </c>
      <c r="E24" s="816">
        <f>'[2]Wind,Snow,seismic'!$S$151*'Wind Distributation'!E8</f>
        <v>0.73438748574548429</v>
      </c>
      <c r="F24" s="816">
        <f>'[2]Wind,Snow,seismic'!$S$151*'Wind Distributation'!F8</f>
        <v>-0.65396638834765475</v>
      </c>
      <c r="G24" s="816">
        <f>'[2]Wind,Snow,seismic'!$S$151*'Wind Distributation'!G8</f>
        <v>-1.0061021359194688</v>
      </c>
      <c r="H24" s="816">
        <f>'[2]Wind,Snow,seismic'!$S$151*'Wind Distributation'!H8</f>
        <v>-0.44120932333855112</v>
      </c>
      <c r="I24" s="816">
        <f>'[2]Wind,Snow,seismic'!$S$151*'Wind Distributation'!I8</f>
        <v>-0.6366614316098399</v>
      </c>
      <c r="J24" s="816">
        <f>'[2]Wind,Snow,seismic'!$S$151*'Wind Distributation'!J8</f>
        <v>-0.38802005708627518</v>
      </c>
      <c r="K24" s="816">
        <f>'[2]Wind,Snow,seismic'!$S$151*'Wind Distributation'!K8</f>
        <v>-0.58058800590126147</v>
      </c>
      <c r="L24" s="816">
        <f>'[2]Wind,Snow,seismic'!$S$151*'Wind Distributation'!L8</f>
        <v>0</v>
      </c>
      <c r="M24" s="816">
        <f>'[2]Wind,Snow,seismic'!$S$151*'Wind Distributation'!M8</f>
        <v>0</v>
      </c>
      <c r="N24" s="816">
        <f>'[2]Wind,Snow,seismic'!$S$151*'Wind Distributation'!N8</f>
        <v>0</v>
      </c>
      <c r="O24" s="816">
        <f>'[2]Wind,Snow,seismic'!$S$151*'Wind Distributation'!O8</f>
        <v>0</v>
      </c>
      <c r="P24" s="205"/>
      <c r="Q24" s="205"/>
    </row>
    <row r="25" spans="1:34" ht="29" customHeight="1" x14ac:dyDescent="0.35">
      <c r="A25" s="205"/>
      <c r="B25" s="815" t="s">
        <v>3128</v>
      </c>
      <c r="C25" s="811" t="s">
        <v>3120</v>
      </c>
      <c r="D25" s="814">
        <f>'[2]Wind,Snow,seismic'!$S$151*'Wind Distributation'!D9</f>
        <v>-0.42759340776577426</v>
      </c>
      <c r="E25" s="814">
        <f>'[2]Wind,Snow,seismic'!$S$151*'Wind Distributation'!E9</f>
        <v>-0.45274596116376098</v>
      </c>
      <c r="F25" s="814">
        <f>'[2]Wind,Snow,seismic'!$S$151*'Wind Distributation'!F9</f>
        <v>-0.65396638834765475</v>
      </c>
      <c r="G25" s="814">
        <f>'[2]Wind,Snow,seismic'!$S$151*'Wind Distributation'!G9</f>
        <v>-1.0061021359194688</v>
      </c>
      <c r="H25" s="814">
        <f>'[2]Wind,Snow,seismic'!$S$151*'Wind Distributation'!H9</f>
        <v>-0.3521357475718141</v>
      </c>
      <c r="I25" s="814">
        <f>'[2]Wind,Snow,seismic'!$S$151*'Wind Distributation'!I9</f>
        <v>-0.50305106795973442</v>
      </c>
      <c r="J25" s="814">
        <f>'[2]Wind,Snow,seismic'!$S$151*'Wind Distributation'!J9</f>
        <v>-0.42759340776577426</v>
      </c>
      <c r="K25" s="814">
        <f>'[2]Wind,Snow,seismic'!$S$151*'Wind Distributation'!K9</f>
        <v>-0.45274596116376098</v>
      </c>
      <c r="L25" s="814">
        <f>'[2]Wind,Snow,seismic'!$S$151*'Wind Distributation'!L9</f>
        <v>0.37728830096980082</v>
      </c>
      <c r="M25" s="814">
        <f>'[2]Wind,Snow,seismic'!$S$151*'Wind Distributation'!M9</f>
        <v>0.57850872815369458</v>
      </c>
      <c r="N25" s="814">
        <f>'[2]Wind,Snow,seismic'!$S$151*'Wind Distributation'!N9</f>
        <v>-0.27667808737785393</v>
      </c>
      <c r="O25" s="814">
        <f>'[2]Wind,Snow,seismic'!$S$151*'Wind Distributation'!O9</f>
        <v>-0.40244085436778754</v>
      </c>
      <c r="P25" s="205"/>
      <c r="Q25" s="205"/>
    </row>
    <row r="26" spans="1:34" x14ac:dyDescent="0.35">
      <c r="A26" s="205"/>
      <c r="B26" s="205"/>
      <c r="C26" s="205"/>
      <c r="D26" s="205"/>
      <c r="E26" s="205"/>
      <c r="F26" s="205"/>
      <c r="G26" s="205"/>
      <c r="H26" s="205"/>
      <c r="I26" s="205"/>
      <c r="J26" s="205"/>
      <c r="K26" s="205"/>
      <c r="L26" s="205"/>
      <c r="M26" s="205"/>
      <c r="N26" s="205"/>
      <c r="O26" s="205"/>
      <c r="P26" s="205"/>
      <c r="Q26" s="205"/>
    </row>
    <row r="27" spans="1:34" x14ac:dyDescent="0.35">
      <c r="A27" s="205"/>
      <c r="B27" s="205"/>
      <c r="C27" s="205"/>
      <c r="D27" s="205"/>
      <c r="E27" s="205"/>
      <c r="F27" s="205"/>
      <c r="G27" s="205"/>
      <c r="H27" s="205"/>
      <c r="I27" s="205"/>
      <c r="J27" s="205"/>
      <c r="K27" s="205"/>
      <c r="L27" s="205"/>
      <c r="M27" s="205"/>
      <c r="N27" s="205"/>
      <c r="O27" s="205"/>
      <c r="P27" s="205"/>
      <c r="Q27" s="205"/>
    </row>
    <row r="28" spans="1:34" x14ac:dyDescent="0.35">
      <c r="A28" s="205"/>
      <c r="B28" s="205"/>
      <c r="C28" s="205"/>
      <c r="D28" s="205"/>
      <c r="E28" s="205"/>
      <c r="F28" s="205"/>
      <c r="G28" s="205"/>
      <c r="H28" s="205"/>
      <c r="I28" s="205"/>
      <c r="J28" s="205"/>
      <c r="K28" s="205"/>
      <c r="L28" s="205"/>
      <c r="M28" s="205"/>
      <c r="N28" s="205"/>
      <c r="O28" s="205"/>
      <c r="P28" s="205"/>
      <c r="Q28" s="205"/>
    </row>
    <row r="29" spans="1:34" x14ac:dyDescent="0.35">
      <c r="A29" s="205"/>
      <c r="B29" s="1155" t="s">
        <v>633</v>
      </c>
      <c r="C29" s="1155" t="s">
        <v>634</v>
      </c>
      <c r="D29" s="1155" t="s">
        <v>3129</v>
      </c>
      <c r="E29" s="1156"/>
      <c r="F29" s="1156"/>
      <c r="G29" s="1156"/>
      <c r="H29" s="1156"/>
      <c r="I29" s="1156"/>
      <c r="J29" s="1156"/>
      <c r="K29" s="1156"/>
      <c r="L29" s="1156"/>
      <c r="M29" s="1156"/>
      <c r="N29" s="1156"/>
      <c r="O29" s="1157"/>
      <c r="P29" s="205"/>
      <c r="Q29" s="205"/>
    </row>
    <row r="30" spans="1:34" x14ac:dyDescent="0.35">
      <c r="A30" s="205"/>
      <c r="B30" s="1151"/>
      <c r="C30" s="1151"/>
      <c r="D30" s="1155" t="s">
        <v>3119</v>
      </c>
      <c r="E30" s="1156"/>
      <c r="F30" s="1156"/>
      <c r="G30" s="1156"/>
      <c r="H30" s="1156"/>
      <c r="I30" s="1156"/>
      <c r="J30" s="1156"/>
      <c r="K30" s="1156"/>
      <c r="L30" s="1156"/>
      <c r="M30" s="1156"/>
      <c r="N30" s="1156"/>
      <c r="O30" s="1157"/>
      <c r="P30" s="205"/>
      <c r="Q30" s="205"/>
    </row>
    <row r="31" spans="1:34" x14ac:dyDescent="0.35">
      <c r="A31" s="205"/>
      <c r="B31" s="1152"/>
      <c r="C31" s="1152"/>
      <c r="D31" s="812">
        <v>1</v>
      </c>
      <c r="E31" s="812" t="s">
        <v>535</v>
      </c>
      <c r="F31" s="812">
        <v>2</v>
      </c>
      <c r="G31" s="812" t="s">
        <v>538</v>
      </c>
      <c r="H31" s="812">
        <v>3</v>
      </c>
      <c r="I31" s="812" t="s">
        <v>542</v>
      </c>
      <c r="J31" s="812">
        <v>4</v>
      </c>
      <c r="K31" s="812" t="s">
        <v>543</v>
      </c>
      <c r="L31" s="812">
        <v>5</v>
      </c>
      <c r="M31" s="812" t="s">
        <v>545</v>
      </c>
      <c r="N31" s="812">
        <v>6</v>
      </c>
      <c r="O31" s="812" t="s">
        <v>547</v>
      </c>
      <c r="P31" s="205"/>
      <c r="Q31" s="205"/>
    </row>
    <row r="32" spans="1:34" ht="15" customHeight="1" x14ac:dyDescent="0.35">
      <c r="A32" s="205"/>
      <c r="B32" s="1150" t="s">
        <v>3127</v>
      </c>
      <c r="C32" s="811">
        <v>5</v>
      </c>
      <c r="D32" s="814" t="str">
        <f>CONCATENATE("±",TEXT('[2]Wind,Snow,seismic'!$S$157,"0.00"))</f>
        <v>±0.70</v>
      </c>
      <c r="E32" s="814" t="str">
        <f>CONCATENATE("±",TEXT('[2]Wind,Snow,seismic'!$S$157,"0.00"))</f>
        <v>±0.70</v>
      </c>
      <c r="F32" s="814" t="str">
        <f>CONCATENATE("±",TEXT('[2]Wind,Snow,seismic'!$S$157,"0.00"))</f>
        <v>±0.70</v>
      </c>
      <c r="G32" s="814" t="str">
        <f>CONCATENATE("±",TEXT('[2]Wind,Snow,seismic'!$S$157,"0.00"))</f>
        <v>±0.70</v>
      </c>
      <c r="H32" s="814" t="str">
        <f>CONCATENATE("±",TEXT('[2]Wind,Snow,seismic'!$S$157,"0.00"))</f>
        <v>±0.70</v>
      </c>
      <c r="I32" s="814" t="str">
        <f>CONCATENATE("±",TEXT('[2]Wind,Snow,seismic'!$S$157,"0.00"))</f>
        <v>±0.70</v>
      </c>
      <c r="J32" s="814" t="str">
        <f>CONCATENATE("±",TEXT('[2]Wind,Snow,seismic'!$S$157,"0.00"))</f>
        <v>±0.70</v>
      </c>
      <c r="K32" s="814" t="str">
        <f>CONCATENATE("±",TEXT('[2]Wind,Snow,seismic'!$S$157,"0.00"))</f>
        <v>±0.70</v>
      </c>
      <c r="L32" s="814" t="str">
        <f>CONCATENATE("±",TEXT('[2]Wind,Snow,seismic'!$S$157,"0.00"))</f>
        <v>±0.70</v>
      </c>
      <c r="M32" s="814" t="str">
        <f>CONCATENATE("±",TEXT('[2]Wind,Snow,seismic'!$S$157,"0.00"))</f>
        <v>±0.70</v>
      </c>
      <c r="N32" s="814" t="str">
        <f>CONCATENATE("±",TEXT('[2]Wind,Snow,seismic'!$S$157,"0.00"))</f>
        <v>±0.70</v>
      </c>
      <c r="O32" s="814" t="str">
        <f>CONCATENATE("±",TEXT('[2]Wind,Snow,seismic'!$S$157,"0.00"))</f>
        <v>±0.70</v>
      </c>
      <c r="P32" s="205"/>
      <c r="Q32" s="206"/>
      <c r="R32" s="129"/>
      <c r="S32" s="129"/>
      <c r="T32" s="129"/>
      <c r="U32" s="129"/>
      <c r="V32" s="129"/>
      <c r="W32" s="129"/>
      <c r="X32" s="129"/>
    </row>
    <row r="33" spans="1:24" x14ac:dyDescent="0.35">
      <c r="A33" s="205"/>
      <c r="B33" s="1151"/>
      <c r="C33" s="811">
        <v>20</v>
      </c>
      <c r="D33" s="814" t="str">
        <f>CONCATENATE("±",TEXT('[2]Wind,Snow,seismic'!$S$157,"0.00"))</f>
        <v>±0.70</v>
      </c>
      <c r="E33" s="814" t="str">
        <f>CONCATENATE("±",TEXT('[2]Wind,Snow,seismic'!$S$157,"0.00"))</f>
        <v>±0.70</v>
      </c>
      <c r="F33" s="814" t="str">
        <f>CONCATENATE("±",TEXT('[2]Wind,Snow,seismic'!$S$157,"0.00"))</f>
        <v>±0.70</v>
      </c>
      <c r="G33" s="814" t="str">
        <f>CONCATENATE("±",TEXT('[2]Wind,Snow,seismic'!$S$157,"0.00"))</f>
        <v>±0.70</v>
      </c>
      <c r="H33" s="814" t="str">
        <f>CONCATENATE("±",TEXT('[2]Wind,Snow,seismic'!$S$157,"0.00"))</f>
        <v>±0.70</v>
      </c>
      <c r="I33" s="814" t="str">
        <f>CONCATENATE("±",TEXT('[2]Wind,Snow,seismic'!$S$157,"0.00"))</f>
        <v>±0.70</v>
      </c>
      <c r="J33" s="814" t="str">
        <f>CONCATENATE("±",TEXT('[2]Wind,Snow,seismic'!$S$157,"0.00"))</f>
        <v>±0.70</v>
      </c>
      <c r="K33" s="814" t="str">
        <f>CONCATENATE("±",TEXT('[2]Wind,Snow,seismic'!$S$157,"0.00"))</f>
        <v>±0.70</v>
      </c>
      <c r="L33" s="814" t="str">
        <f>CONCATENATE("±",TEXT('[2]Wind,Snow,seismic'!$S$157,"0.00"))</f>
        <v>±0.70</v>
      </c>
      <c r="M33" s="814" t="str">
        <f>CONCATENATE("±",TEXT('[2]Wind,Snow,seismic'!$S$157,"0.00"))</f>
        <v>±0.70</v>
      </c>
      <c r="N33" s="814" t="str">
        <f>CONCATENATE("±",TEXT('[2]Wind,Snow,seismic'!$S$157,"0.00"))</f>
        <v>±0.70</v>
      </c>
      <c r="O33" s="814" t="str">
        <f>CONCATENATE("±",TEXT('[2]Wind,Snow,seismic'!$S$157,"0.00"))</f>
        <v>±0.70</v>
      </c>
      <c r="P33" s="205"/>
      <c r="Q33" s="206"/>
      <c r="R33" s="129"/>
      <c r="S33" s="129"/>
      <c r="T33" s="129"/>
      <c r="U33" s="129"/>
      <c r="V33" s="129"/>
      <c r="W33" s="129"/>
      <c r="X33" s="129"/>
    </row>
    <row r="34" spans="1:24" x14ac:dyDescent="0.35">
      <c r="A34" s="205"/>
      <c r="B34" s="1152"/>
      <c r="C34" s="816">
        <f>$C$1</f>
        <v>18.28</v>
      </c>
      <c r="D34" s="816" t="str">
        <f>CONCATENATE("±",TEXT('[2]Wind,Snow,seismic'!$S$157,"0.00"))</f>
        <v>±0.70</v>
      </c>
      <c r="E34" s="816" t="str">
        <f>CONCATENATE("±",TEXT('[2]Wind,Snow,seismic'!$S$157,"0.00"))</f>
        <v>±0.70</v>
      </c>
      <c r="F34" s="816" t="str">
        <f>CONCATENATE("±",TEXT('[2]Wind,Snow,seismic'!$S$157,"0.00"))</f>
        <v>±0.70</v>
      </c>
      <c r="G34" s="816" t="str">
        <f>CONCATENATE("±",TEXT('[2]Wind,Snow,seismic'!$S$157,"0.00"))</f>
        <v>±0.70</v>
      </c>
      <c r="H34" s="816" t="str">
        <f>CONCATENATE("±",TEXT('[2]Wind,Snow,seismic'!$S$157,"0.00"))</f>
        <v>±0.70</v>
      </c>
      <c r="I34" s="816" t="str">
        <f>CONCATENATE("±",TEXT('[2]Wind,Snow,seismic'!$S$157,"0.00"))</f>
        <v>±0.70</v>
      </c>
      <c r="J34" s="816" t="str">
        <f>CONCATENATE("±",TEXT('[2]Wind,Snow,seismic'!$S$157,"0.00"))</f>
        <v>±0.70</v>
      </c>
      <c r="K34" s="816" t="str">
        <f>CONCATENATE("±",TEXT('[2]Wind,Snow,seismic'!$S$157,"0.00"))</f>
        <v>±0.70</v>
      </c>
      <c r="L34" s="816" t="str">
        <f>CONCATENATE("±",TEXT('[2]Wind,Snow,seismic'!$S$157,"0.00"))</f>
        <v>±0.70</v>
      </c>
      <c r="M34" s="816" t="str">
        <f>CONCATENATE("±",TEXT('[2]Wind,Snow,seismic'!$S$157,"0.00"))</f>
        <v>±0.70</v>
      </c>
      <c r="N34" s="816" t="str">
        <f>CONCATENATE("±",TEXT('[2]Wind,Snow,seismic'!$S$157,"0.00"))</f>
        <v>±0.70</v>
      </c>
      <c r="O34" s="816" t="str">
        <f>CONCATENATE("±",TEXT('[2]Wind,Snow,seismic'!$S$157,"0.00"))</f>
        <v>±0.70</v>
      </c>
      <c r="P34" s="205"/>
      <c r="Q34" s="206"/>
      <c r="R34" s="129"/>
      <c r="S34" s="129"/>
      <c r="T34" s="129"/>
      <c r="U34" s="129"/>
      <c r="V34" s="129"/>
      <c r="W34" s="129"/>
      <c r="X34" s="129"/>
    </row>
    <row r="35" spans="1:24" ht="29" customHeight="1" x14ac:dyDescent="0.35">
      <c r="A35" s="205"/>
      <c r="B35" s="815" t="s">
        <v>3128</v>
      </c>
      <c r="C35" s="811" t="s">
        <v>3120</v>
      </c>
      <c r="D35" s="814" t="str">
        <f>CONCATENATE("±",TEXT('[2]Wind,Snow,seismic'!$S$157,"0.00"))</f>
        <v>±0.70</v>
      </c>
      <c r="E35" s="814" t="str">
        <f>CONCATENATE("±",TEXT('[2]Wind,Snow,seismic'!$S$157,"0.00"))</f>
        <v>±0.70</v>
      </c>
      <c r="F35" s="814" t="str">
        <f>CONCATENATE("±",TEXT('[2]Wind,Snow,seismic'!$S$157,"0.00"))</f>
        <v>±0.70</v>
      </c>
      <c r="G35" s="814" t="str">
        <f>CONCATENATE("±",TEXT('[2]Wind,Snow,seismic'!$S$157,"0.00"))</f>
        <v>±0.70</v>
      </c>
      <c r="H35" s="814" t="str">
        <f>CONCATENATE("±",TEXT('[2]Wind,Snow,seismic'!$S$157,"0.00"))</f>
        <v>±0.70</v>
      </c>
      <c r="I35" s="814" t="str">
        <f>CONCATENATE("±",TEXT('[2]Wind,Snow,seismic'!$S$157,"0.00"))</f>
        <v>±0.70</v>
      </c>
      <c r="J35" s="814" t="str">
        <f>CONCATENATE("±",TEXT('[2]Wind,Snow,seismic'!$S$157,"0.00"))</f>
        <v>±0.70</v>
      </c>
      <c r="K35" s="814" t="str">
        <f>CONCATENATE("±",TEXT('[2]Wind,Snow,seismic'!$S$157,"0.00"))</f>
        <v>±0.70</v>
      </c>
      <c r="L35" s="814" t="str">
        <f>CONCATENATE("±",TEXT('[2]Wind,Snow,seismic'!$S$157,"0.00"))</f>
        <v>±0.70</v>
      </c>
      <c r="M35" s="814" t="str">
        <f>CONCATENATE("±",TEXT('[2]Wind,Snow,seismic'!$S$157,"0.00"))</f>
        <v>±0.70</v>
      </c>
      <c r="N35" s="814" t="str">
        <f>CONCATENATE("±",TEXT('[2]Wind,Snow,seismic'!$S$157,"0.00"))</f>
        <v>±0.70</v>
      </c>
      <c r="O35" s="814" t="str">
        <f>CONCATENATE("±",TEXT('[2]Wind,Snow,seismic'!$S$157,"0.00"))</f>
        <v>±0.70</v>
      </c>
      <c r="P35" s="205"/>
      <c r="Q35" s="206"/>
      <c r="R35" s="129"/>
      <c r="S35" s="129"/>
      <c r="T35" s="129"/>
      <c r="U35" s="129"/>
      <c r="V35" s="129"/>
      <c r="W35" s="129"/>
      <c r="X35" s="129"/>
    </row>
    <row r="36" spans="1:24" x14ac:dyDescent="0.35">
      <c r="B36" s="205"/>
      <c r="C36" s="205"/>
      <c r="D36" s="205"/>
      <c r="E36" s="205"/>
      <c r="F36" s="205"/>
      <c r="G36" s="205"/>
      <c r="H36" s="205"/>
      <c r="I36" s="205"/>
      <c r="J36" s="205"/>
      <c r="K36" s="205"/>
      <c r="L36" s="205"/>
      <c r="M36" s="205"/>
      <c r="N36" s="205"/>
      <c r="O36" s="205"/>
      <c r="P36" s="205"/>
      <c r="Q36" s="205"/>
    </row>
  </sheetData>
  <mergeCells count="17">
    <mergeCell ref="D3:O3"/>
    <mergeCell ref="D4:O4"/>
    <mergeCell ref="B3:B5"/>
    <mergeCell ref="C3:C5"/>
    <mergeCell ref="B6:B8"/>
    <mergeCell ref="B32:B34"/>
    <mergeCell ref="B14:E14"/>
    <mergeCell ref="B15:E15"/>
    <mergeCell ref="B19:B21"/>
    <mergeCell ref="C19:C21"/>
    <mergeCell ref="D19:O19"/>
    <mergeCell ref="D20:O20"/>
    <mergeCell ref="B22:B24"/>
    <mergeCell ref="B29:B31"/>
    <mergeCell ref="C29:C31"/>
    <mergeCell ref="D29:O29"/>
    <mergeCell ref="D30:O30"/>
  </mergeCells>
  <pageMargins left="0.7" right="0.7" top="0.75" bottom="0.75" header="0.3" footer="0.3"/>
  <pageSetup scale="79" orientation="portrait" r:id="rId1"/>
  <colBreaks count="1" manualBreakCount="1">
    <brk id="16"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B2:B132"/>
  <sheetViews>
    <sheetView workbookViewId="0">
      <selection activeCell="C16" sqref="C16"/>
    </sheetView>
  </sheetViews>
  <sheetFormatPr defaultRowHeight="14.5" x14ac:dyDescent="0.35"/>
  <sheetData>
    <row r="2" spans="2:2" x14ac:dyDescent="0.35">
      <c r="B2" t="s">
        <v>3130</v>
      </c>
    </row>
    <row r="6" spans="2:2" ht="31" customHeight="1" x14ac:dyDescent="0.35">
      <c r="B6" s="757" t="s">
        <v>3131</v>
      </c>
    </row>
    <row r="8" spans="2:2" x14ac:dyDescent="0.35">
      <c r="B8" s="238" t="s">
        <v>3132</v>
      </c>
    </row>
    <row r="9" spans="2:2" x14ac:dyDescent="0.35">
      <c r="B9" s="226"/>
    </row>
    <row r="10" spans="2:2" x14ac:dyDescent="0.35">
      <c r="B10" s="226" t="s">
        <v>3133</v>
      </c>
    </row>
    <row r="11" spans="2:2" x14ac:dyDescent="0.35">
      <c r="B11" s="226"/>
    </row>
    <row r="12" spans="2:2" x14ac:dyDescent="0.35">
      <c r="B12" s="226" t="s">
        <v>3134</v>
      </c>
    </row>
    <row r="14" spans="2:2" x14ac:dyDescent="0.35">
      <c r="B14" s="238" t="s">
        <v>3135</v>
      </c>
    </row>
    <row r="15" spans="2:2" x14ac:dyDescent="0.35">
      <c r="B15" s="226"/>
    </row>
    <row r="16" spans="2:2" x14ac:dyDescent="0.35">
      <c r="B16" s="226" t="s">
        <v>3136</v>
      </c>
    </row>
    <row r="17" spans="2:2" x14ac:dyDescent="0.35">
      <c r="B17" s="226"/>
    </row>
    <row r="18" spans="2:2" x14ac:dyDescent="0.35">
      <c r="B18" s="226" t="s">
        <v>3137</v>
      </c>
    </row>
    <row r="20" spans="2:2" x14ac:dyDescent="0.35">
      <c r="B20" s="238" t="s">
        <v>3138</v>
      </c>
    </row>
    <row r="21" spans="2:2" x14ac:dyDescent="0.35">
      <c r="B21" s="226"/>
    </row>
    <row r="22" spans="2:2" x14ac:dyDescent="0.35">
      <c r="B22" s="226" t="s">
        <v>3139</v>
      </c>
    </row>
    <row r="24" spans="2:2" x14ac:dyDescent="0.35">
      <c r="B24" s="238" t="s">
        <v>3140</v>
      </c>
    </row>
    <row r="25" spans="2:2" x14ac:dyDescent="0.35">
      <c r="B25" s="226"/>
    </row>
    <row r="26" spans="2:2" x14ac:dyDescent="0.35">
      <c r="B26" s="226" t="s">
        <v>3141</v>
      </c>
    </row>
    <row r="30" spans="2:2" ht="31" customHeight="1" x14ac:dyDescent="0.35">
      <c r="B30" s="757" t="s">
        <v>3142</v>
      </c>
    </row>
    <row r="32" spans="2:2" x14ac:dyDescent="0.35">
      <c r="B32" s="238" t="s">
        <v>3143</v>
      </c>
    </row>
    <row r="33" spans="2:2" x14ac:dyDescent="0.35">
      <c r="B33" s="226"/>
    </row>
    <row r="34" spans="2:2" x14ac:dyDescent="0.35">
      <c r="B34" s="226" t="s">
        <v>3144</v>
      </c>
    </row>
    <row r="36" spans="2:2" x14ac:dyDescent="0.35">
      <c r="B36" s="238" t="s">
        <v>3145</v>
      </c>
    </row>
    <row r="37" spans="2:2" x14ac:dyDescent="0.35">
      <c r="B37" s="226"/>
    </row>
    <row r="38" spans="2:2" x14ac:dyDescent="0.35">
      <c r="B38" s="758" t="s">
        <v>3146</v>
      </c>
    </row>
    <row r="39" spans="2:2" x14ac:dyDescent="0.35">
      <c r="B39" s="226"/>
    </row>
    <row r="40" spans="2:2" x14ac:dyDescent="0.35">
      <c r="B40" s="758" t="s">
        <v>3147</v>
      </c>
    </row>
    <row r="42" spans="2:2" x14ac:dyDescent="0.35">
      <c r="B42" s="238" t="s">
        <v>3148</v>
      </c>
    </row>
    <row r="43" spans="2:2" x14ac:dyDescent="0.35">
      <c r="B43" s="226"/>
    </row>
    <row r="44" spans="2:2" x14ac:dyDescent="0.35">
      <c r="B44" s="226" t="s">
        <v>3149</v>
      </c>
    </row>
    <row r="45" spans="2:2" x14ac:dyDescent="0.35">
      <c r="B45" s="226"/>
    </row>
    <row r="46" spans="2:2" x14ac:dyDescent="0.35">
      <c r="B46" s="226" t="s">
        <v>3150</v>
      </c>
    </row>
    <row r="48" spans="2:2" x14ac:dyDescent="0.35">
      <c r="B48" s="238" t="s">
        <v>3151</v>
      </c>
    </row>
    <row r="49" spans="2:2" x14ac:dyDescent="0.35">
      <c r="B49" s="226"/>
    </row>
    <row r="50" spans="2:2" x14ac:dyDescent="0.35">
      <c r="B50" s="758" t="s">
        <v>3152</v>
      </c>
    </row>
    <row r="51" spans="2:2" x14ac:dyDescent="0.35">
      <c r="B51" s="226"/>
    </row>
    <row r="52" spans="2:2" x14ac:dyDescent="0.35">
      <c r="B52" s="758" t="s">
        <v>3153</v>
      </c>
    </row>
    <row r="54" spans="2:2" x14ac:dyDescent="0.35">
      <c r="B54" s="238" t="s">
        <v>3138</v>
      </c>
    </row>
    <row r="55" spans="2:2" x14ac:dyDescent="0.35">
      <c r="B55" s="226"/>
    </row>
    <row r="56" spans="2:2" x14ac:dyDescent="0.35">
      <c r="B56" s="758" t="s">
        <v>3154</v>
      </c>
    </row>
    <row r="57" spans="2:2" x14ac:dyDescent="0.35">
      <c r="B57" s="226"/>
    </row>
    <row r="58" spans="2:2" x14ac:dyDescent="0.35">
      <c r="B58" s="226" t="s">
        <v>3155</v>
      </c>
    </row>
    <row r="60" spans="2:2" x14ac:dyDescent="0.35">
      <c r="B60" s="238" t="s">
        <v>3156</v>
      </c>
    </row>
    <row r="61" spans="2:2" x14ac:dyDescent="0.35">
      <c r="B61" s="226"/>
    </row>
    <row r="62" spans="2:2" x14ac:dyDescent="0.35">
      <c r="B62" s="758" t="s">
        <v>3157</v>
      </c>
    </row>
    <row r="64" spans="2:2" x14ac:dyDescent="0.35">
      <c r="B64" s="238" t="s">
        <v>3158</v>
      </c>
    </row>
    <row r="65" spans="2:2" x14ac:dyDescent="0.35">
      <c r="B65" s="226"/>
    </row>
    <row r="66" spans="2:2" x14ac:dyDescent="0.35">
      <c r="B66" s="758" t="s">
        <v>3159</v>
      </c>
    </row>
    <row r="68" spans="2:2" x14ac:dyDescent="0.35">
      <c r="B68" s="238" t="s">
        <v>3160</v>
      </c>
    </row>
    <row r="69" spans="2:2" x14ac:dyDescent="0.35">
      <c r="B69" s="226"/>
    </row>
    <row r="70" spans="2:2" x14ac:dyDescent="0.35">
      <c r="B70" s="226" t="s">
        <v>3161</v>
      </c>
    </row>
    <row r="74" spans="2:2" ht="31" customHeight="1" x14ac:dyDescent="0.35">
      <c r="B74" s="757" t="s">
        <v>3162</v>
      </c>
    </row>
    <row r="76" spans="2:2" x14ac:dyDescent="0.35">
      <c r="B76" s="238" t="s">
        <v>3163</v>
      </c>
    </row>
    <row r="77" spans="2:2" x14ac:dyDescent="0.35">
      <c r="B77" s="226"/>
    </row>
    <row r="78" spans="2:2" x14ac:dyDescent="0.35">
      <c r="B78" s="226" t="s">
        <v>3164</v>
      </c>
    </row>
    <row r="80" spans="2:2" x14ac:dyDescent="0.35">
      <c r="B80" s="238" t="s">
        <v>3165</v>
      </c>
    </row>
    <row r="81" spans="2:2" x14ac:dyDescent="0.35">
      <c r="B81" s="226"/>
    </row>
    <row r="82" spans="2:2" x14ac:dyDescent="0.35">
      <c r="B82" s="226" t="s">
        <v>3166</v>
      </c>
    </row>
    <row r="83" spans="2:2" x14ac:dyDescent="0.35">
      <c r="B83" s="226"/>
    </row>
    <row r="84" spans="2:2" x14ac:dyDescent="0.35">
      <c r="B84" s="226" t="s">
        <v>3167</v>
      </c>
    </row>
    <row r="85" spans="2:2" x14ac:dyDescent="0.35">
      <c r="B85" s="226"/>
    </row>
    <row r="86" spans="2:2" x14ac:dyDescent="0.35">
      <c r="B86" s="226" t="s">
        <v>3168</v>
      </c>
    </row>
    <row r="88" spans="2:2" x14ac:dyDescent="0.35">
      <c r="B88" s="238" t="s">
        <v>3169</v>
      </c>
    </row>
    <row r="89" spans="2:2" x14ac:dyDescent="0.35">
      <c r="B89" s="226"/>
    </row>
    <row r="90" spans="2:2" x14ac:dyDescent="0.35">
      <c r="B90" s="226" t="s">
        <v>3170</v>
      </c>
    </row>
    <row r="91" spans="2:2" x14ac:dyDescent="0.35">
      <c r="B91" s="226"/>
    </row>
    <row r="92" spans="2:2" x14ac:dyDescent="0.35">
      <c r="B92" s="226" t="s">
        <v>3171</v>
      </c>
    </row>
    <row r="93" spans="2:2" x14ac:dyDescent="0.35">
      <c r="B93" s="226"/>
    </row>
    <row r="94" spans="2:2" x14ac:dyDescent="0.35">
      <c r="B94" s="226" t="s">
        <v>3172</v>
      </c>
    </row>
    <row r="95" spans="2:2" x14ac:dyDescent="0.35">
      <c r="B95" s="226"/>
    </row>
    <row r="96" spans="2:2" x14ac:dyDescent="0.35">
      <c r="B96" s="226" t="s">
        <v>3173</v>
      </c>
    </row>
    <row r="98" spans="2:2" x14ac:dyDescent="0.35">
      <c r="B98" s="238" t="s">
        <v>3174</v>
      </c>
    </row>
    <row r="99" spans="2:2" x14ac:dyDescent="0.35">
      <c r="B99" s="226"/>
    </row>
    <row r="100" spans="2:2" x14ac:dyDescent="0.35">
      <c r="B100" s="226" t="s">
        <v>3175</v>
      </c>
    </row>
    <row r="101" spans="2:2" x14ac:dyDescent="0.35">
      <c r="B101" s="226"/>
    </row>
    <row r="102" spans="2:2" x14ac:dyDescent="0.35">
      <c r="B102" s="226" t="s">
        <v>3176</v>
      </c>
    </row>
    <row r="104" spans="2:2" x14ac:dyDescent="0.35">
      <c r="B104" s="238" t="s">
        <v>3177</v>
      </c>
    </row>
    <row r="105" spans="2:2" x14ac:dyDescent="0.35">
      <c r="B105" s="226"/>
    </row>
    <row r="106" spans="2:2" x14ac:dyDescent="0.35">
      <c r="B106" s="226" t="s">
        <v>3178</v>
      </c>
    </row>
    <row r="108" spans="2:2" x14ac:dyDescent="0.35">
      <c r="B108" s="238" t="s">
        <v>3179</v>
      </c>
    </row>
    <row r="109" spans="2:2" x14ac:dyDescent="0.35">
      <c r="B109" s="226"/>
    </row>
    <row r="110" spans="2:2" x14ac:dyDescent="0.35">
      <c r="B110" s="226" t="s">
        <v>3180</v>
      </c>
    </row>
    <row r="114" spans="2:2" ht="31" customHeight="1" x14ac:dyDescent="0.35">
      <c r="B114" s="757" t="s">
        <v>3181</v>
      </c>
    </row>
    <row r="115" spans="2:2" x14ac:dyDescent="0.35">
      <c r="B115" s="226"/>
    </row>
    <row r="116" spans="2:2" x14ac:dyDescent="0.35">
      <c r="B116" s="758" t="s">
        <v>3182</v>
      </c>
    </row>
    <row r="117" spans="2:2" x14ac:dyDescent="0.35">
      <c r="B117" s="226" t="s">
        <v>3183</v>
      </c>
    </row>
    <row r="118" spans="2:2" x14ac:dyDescent="0.35">
      <c r="B118" s="226" t="s">
        <v>3184</v>
      </c>
    </row>
    <row r="122" spans="2:2" ht="23.5" customHeight="1" x14ac:dyDescent="0.35">
      <c r="B122" s="224" t="s">
        <v>3185</v>
      </c>
    </row>
    <row r="123" spans="2:2" x14ac:dyDescent="0.35">
      <c r="B123" s="226"/>
    </row>
    <row r="124" spans="2:2" x14ac:dyDescent="0.35">
      <c r="B124" s="226" t="s">
        <v>3186</v>
      </c>
    </row>
    <row r="125" spans="2:2" x14ac:dyDescent="0.35">
      <c r="B125" s="226"/>
    </row>
    <row r="126" spans="2:2" x14ac:dyDescent="0.35">
      <c r="B126" s="226" t="s">
        <v>3187</v>
      </c>
    </row>
    <row r="127" spans="2:2" x14ac:dyDescent="0.35">
      <c r="B127" s="226"/>
    </row>
    <row r="128" spans="2:2" x14ac:dyDescent="0.35">
      <c r="B128" s="226" t="s">
        <v>3188</v>
      </c>
    </row>
    <row r="132" spans="2:2" x14ac:dyDescent="0.35">
      <c r="B132" t="s">
        <v>3189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2:S134"/>
  <sheetViews>
    <sheetView topLeftCell="A14" zoomScale="115" zoomScaleNormal="115" workbookViewId="0">
      <selection activeCell="P5" sqref="P5"/>
    </sheetView>
  </sheetViews>
  <sheetFormatPr defaultColWidth="9.1796875" defaultRowHeight="14.5" x14ac:dyDescent="0.35"/>
  <cols>
    <col min="1" max="1" width="9.1796875" style="105" customWidth="1"/>
    <col min="2" max="2" width="10.81640625" style="105" customWidth="1"/>
    <col min="3" max="3" width="24.81640625" style="105" customWidth="1"/>
    <col min="4" max="4" width="12" style="105" customWidth="1"/>
    <col min="5" max="5" width="12.26953125" style="105" customWidth="1"/>
    <col min="6" max="6" width="10.453125" style="105" customWidth="1"/>
    <col min="7" max="7" width="6.1796875" style="105" customWidth="1"/>
    <col min="8" max="13" width="9.1796875" style="105" customWidth="1"/>
    <col min="14" max="14" width="15.81640625" style="105" customWidth="1"/>
    <col min="15" max="15" width="28.7265625" style="105" customWidth="1"/>
    <col min="16" max="16" width="30.7265625" style="105" customWidth="1"/>
    <col min="17" max="17" width="9.1796875" style="105" customWidth="1"/>
    <col min="18" max="18" width="14.81640625" style="105" customWidth="1"/>
    <col min="19" max="19" width="22" style="105" customWidth="1"/>
    <col min="20" max="20" width="9.1796875" style="105" customWidth="1"/>
    <col min="21" max="16384" width="9.1796875" style="105"/>
  </cols>
  <sheetData>
    <row r="2" spans="2:18" ht="18.5" customHeight="1" x14ac:dyDescent="0.45">
      <c r="B2" s="568" t="s">
        <v>3190</v>
      </c>
      <c r="C2" s="569"/>
      <c r="D2" s="104" t="s">
        <v>3191</v>
      </c>
    </row>
    <row r="3" spans="2:18" ht="16" customHeight="1" x14ac:dyDescent="0.4">
      <c r="B3" s="178"/>
      <c r="C3" s="558"/>
    </row>
    <row r="4" spans="2:18" x14ac:dyDescent="0.35">
      <c r="B4" s="105" t="s">
        <v>3192</v>
      </c>
    </row>
    <row r="5" spans="2:18" x14ac:dyDescent="0.35">
      <c r="B5" s="105" t="s">
        <v>3193</v>
      </c>
    </row>
    <row r="7" spans="2:18" x14ac:dyDescent="0.35">
      <c r="B7" s="105" t="s">
        <v>3194</v>
      </c>
    </row>
    <row r="8" spans="2:18" ht="15" customHeight="1" thickBot="1" x14ac:dyDescent="0.4">
      <c r="B8" s="105" t="s">
        <v>3195</v>
      </c>
      <c r="D8" s="105">
        <f>11500</f>
        <v>11500</v>
      </c>
      <c r="E8" s="445" t="s">
        <v>3196</v>
      </c>
      <c r="F8" s="429">
        <v>113</v>
      </c>
      <c r="G8" s="105" t="s">
        <v>3197</v>
      </c>
    </row>
    <row r="9" spans="2:18" ht="15" customHeight="1" thickBot="1" x14ac:dyDescent="0.4">
      <c r="B9" s="105" t="s">
        <v>3198</v>
      </c>
      <c r="D9" s="105">
        <v>630</v>
      </c>
      <c r="E9" s="445" t="s">
        <v>3196</v>
      </c>
      <c r="F9" s="430">
        <v>6.2</v>
      </c>
      <c r="G9" s="105" t="s">
        <v>3197</v>
      </c>
      <c r="N9" s="737" t="s">
        <v>3</v>
      </c>
      <c r="O9" s="733" t="s">
        <v>4</v>
      </c>
      <c r="P9" s="740"/>
      <c r="Q9" s="734"/>
      <c r="R9" s="734"/>
    </row>
    <row r="10" spans="2:18" ht="18.5" customHeight="1" x14ac:dyDescent="0.4">
      <c r="B10" s="105" t="s">
        <v>3199</v>
      </c>
      <c r="D10" s="431">
        <v>8293.5</v>
      </c>
      <c r="E10" s="445" t="s">
        <v>3200</v>
      </c>
      <c r="F10" s="430">
        <v>81.3</v>
      </c>
      <c r="G10" s="105" t="s">
        <v>3197</v>
      </c>
      <c r="N10" s="738" t="s">
        <v>7</v>
      </c>
      <c r="O10" s="741" t="s">
        <v>8</v>
      </c>
      <c r="P10" s="742"/>
      <c r="Q10" s="735"/>
      <c r="R10" s="735"/>
    </row>
    <row r="11" spans="2:18" ht="18.5" customHeight="1" x14ac:dyDescent="0.4">
      <c r="B11" s="105" t="s">
        <v>3201</v>
      </c>
      <c r="E11" s="430"/>
      <c r="N11" s="738" t="s">
        <v>11</v>
      </c>
      <c r="O11" s="741" t="s">
        <v>12</v>
      </c>
      <c r="P11" s="742"/>
      <c r="Q11" s="735"/>
      <c r="R11" s="735"/>
    </row>
    <row r="12" spans="2:18" ht="18.5" customHeight="1" x14ac:dyDescent="0.4">
      <c r="N12" s="738" t="s">
        <v>15</v>
      </c>
      <c r="O12" s="1160" t="s">
        <v>16</v>
      </c>
      <c r="P12" s="1159"/>
      <c r="Q12" s="735"/>
      <c r="R12" s="735"/>
    </row>
    <row r="13" spans="2:18" ht="18.5" customHeight="1" x14ac:dyDescent="0.4">
      <c r="N13" s="738" t="s">
        <v>19</v>
      </c>
      <c r="O13" s="1160" t="s">
        <v>20</v>
      </c>
      <c r="P13" s="1159"/>
      <c r="Q13" s="735"/>
      <c r="R13" s="735"/>
    </row>
    <row r="14" spans="2:18" ht="18.5" customHeight="1" x14ac:dyDescent="0.4">
      <c r="B14" s="105" t="s">
        <v>3202</v>
      </c>
      <c r="N14" s="738" t="s">
        <v>23</v>
      </c>
      <c r="O14" s="741" t="s">
        <v>24</v>
      </c>
      <c r="P14" s="742"/>
      <c r="Q14" s="735"/>
      <c r="R14" s="735"/>
    </row>
    <row r="15" spans="2:18" ht="18.5" customHeight="1" x14ac:dyDescent="0.4">
      <c r="B15" s="105" t="s">
        <v>3203</v>
      </c>
      <c r="N15" s="738" t="s">
        <v>27</v>
      </c>
      <c r="O15" s="741" t="s">
        <v>28</v>
      </c>
      <c r="P15" s="742"/>
      <c r="Q15" s="735"/>
      <c r="R15" s="735"/>
    </row>
    <row r="16" spans="2:18" ht="18.5" customHeight="1" x14ac:dyDescent="0.4">
      <c r="B16" s="105" t="s">
        <v>3204</v>
      </c>
      <c r="N16" s="738" t="s">
        <v>31</v>
      </c>
      <c r="O16" s="741" t="s">
        <v>32</v>
      </c>
      <c r="P16" s="742"/>
      <c r="Q16" s="735"/>
      <c r="R16" s="735"/>
    </row>
    <row r="17" spans="1:18" ht="23.5" customHeight="1" x14ac:dyDescent="0.4">
      <c r="B17" s="105" t="s">
        <v>3205</v>
      </c>
      <c r="N17" s="738" t="s">
        <v>35</v>
      </c>
      <c r="O17" s="741" t="s">
        <v>36</v>
      </c>
      <c r="P17" s="742"/>
      <c r="Q17" s="735"/>
      <c r="R17" s="735"/>
    </row>
    <row r="18" spans="1:18" ht="18.5" customHeight="1" x14ac:dyDescent="0.4">
      <c r="N18" s="738" t="s">
        <v>39</v>
      </c>
      <c r="O18" s="741" t="s">
        <v>40</v>
      </c>
      <c r="P18" s="742"/>
      <c r="Q18" s="735"/>
      <c r="R18" s="735"/>
    </row>
    <row r="19" spans="1:18" ht="21" customHeight="1" x14ac:dyDescent="0.4">
      <c r="N19" s="738" t="s">
        <v>43</v>
      </c>
      <c r="O19" s="1158" t="s">
        <v>44</v>
      </c>
      <c r="P19" s="1159"/>
      <c r="Q19" s="735"/>
      <c r="R19" s="735"/>
    </row>
    <row r="20" spans="1:18" ht="18.5" customHeight="1" x14ac:dyDescent="0.4">
      <c r="B20" s="178" t="s">
        <v>3206</v>
      </c>
      <c r="C20" s="558"/>
      <c r="F20" s="433"/>
      <c r="N20" s="738" t="s">
        <v>47</v>
      </c>
      <c r="O20" s="741" t="s">
        <v>48</v>
      </c>
      <c r="P20" s="742"/>
      <c r="Q20" s="735"/>
      <c r="R20" s="735"/>
    </row>
    <row r="21" spans="1:18" ht="18.5" customHeight="1" x14ac:dyDescent="0.4">
      <c r="B21" s="105" t="s">
        <v>3207</v>
      </c>
      <c r="D21" s="430">
        <v>17591</v>
      </c>
      <c r="E21" s="105" t="s">
        <v>3208</v>
      </c>
      <c r="F21" s="433"/>
      <c r="N21" s="738" t="s">
        <v>51</v>
      </c>
      <c r="O21" s="741" t="s">
        <v>52</v>
      </c>
      <c r="P21" s="742"/>
      <c r="Q21" s="735"/>
      <c r="R21" s="735"/>
    </row>
    <row r="22" spans="1:18" ht="18.5" customHeight="1" x14ac:dyDescent="0.4">
      <c r="B22" s="105" t="s">
        <v>3209</v>
      </c>
      <c r="D22" s="430">
        <v>1070</v>
      </c>
      <c r="E22" s="433" t="s">
        <v>3210</v>
      </c>
      <c r="N22" s="738" t="s">
        <v>55</v>
      </c>
      <c r="O22" s="741" t="s">
        <v>56</v>
      </c>
      <c r="P22" s="742"/>
      <c r="Q22" s="735"/>
      <c r="R22" s="735"/>
    </row>
    <row r="23" spans="1:18" ht="18.5" customHeight="1" x14ac:dyDescent="0.4">
      <c r="B23" s="105" t="s">
        <v>3211</v>
      </c>
      <c r="D23" s="430">
        <v>200</v>
      </c>
      <c r="E23" s="433" t="s">
        <v>3212</v>
      </c>
      <c r="N23" s="738" t="s">
        <v>59</v>
      </c>
      <c r="O23" s="741" t="s">
        <v>60</v>
      </c>
      <c r="P23" s="742"/>
      <c r="Q23" s="735"/>
      <c r="R23" s="735"/>
    </row>
    <row r="24" spans="1:18" ht="18.5" customHeight="1" x14ac:dyDescent="0.4">
      <c r="B24" s="105" t="s">
        <v>3213</v>
      </c>
      <c r="F24" s="433"/>
      <c r="N24" s="738" t="s">
        <v>67</v>
      </c>
      <c r="O24" s="741" t="s">
        <v>68</v>
      </c>
      <c r="P24" s="742"/>
      <c r="Q24" s="735"/>
      <c r="R24" s="735"/>
    </row>
    <row r="25" spans="1:18" ht="18.5" customHeight="1" x14ac:dyDescent="0.4">
      <c r="C25" s="105" t="s">
        <v>492</v>
      </c>
      <c r="N25" s="738" t="s">
        <v>71</v>
      </c>
      <c r="O25" s="741" t="s">
        <v>72</v>
      </c>
      <c r="P25" s="742"/>
      <c r="Q25" s="735"/>
      <c r="R25" s="735"/>
    </row>
    <row r="26" spans="1:18" ht="18.5" customHeight="1" x14ac:dyDescent="0.4">
      <c r="B26" s="444" t="s">
        <v>3214</v>
      </c>
      <c r="C26" s="443"/>
      <c r="D26" s="435" t="s">
        <v>3215</v>
      </c>
      <c r="N26" s="738" t="s">
        <v>75</v>
      </c>
      <c r="O26" s="741" t="s">
        <v>76</v>
      </c>
      <c r="P26" s="742"/>
      <c r="Q26" s="735"/>
      <c r="R26" s="735"/>
    </row>
    <row r="27" spans="1:18" ht="18.5" customHeight="1" x14ac:dyDescent="0.4">
      <c r="B27" s="443"/>
      <c r="C27" s="587" t="s">
        <v>422</v>
      </c>
      <c r="D27" s="430">
        <f>D21 - 2*D22+D23</f>
        <v>15651</v>
      </c>
      <c r="E27" s="105" t="s">
        <v>3216</v>
      </c>
      <c r="N27" s="738" t="s">
        <v>3217</v>
      </c>
      <c r="O27" s="1158" t="s">
        <v>3218</v>
      </c>
      <c r="P27" s="1159"/>
      <c r="Q27" s="736"/>
      <c r="R27" s="736"/>
    </row>
    <row r="28" spans="1:18" ht="18.5" customHeight="1" x14ac:dyDescent="0.4">
      <c r="C28" s="581" t="s">
        <v>422</v>
      </c>
      <c r="D28" s="430">
        <v>15.651</v>
      </c>
      <c r="E28" s="105" t="s">
        <v>392</v>
      </c>
      <c r="N28" s="738" t="s">
        <v>79</v>
      </c>
      <c r="O28" s="1160" t="s">
        <v>3219</v>
      </c>
      <c r="P28" s="1159"/>
      <c r="Q28" s="736"/>
      <c r="R28" s="736"/>
    </row>
    <row r="29" spans="1:18" ht="18.5" customHeight="1" x14ac:dyDescent="0.4">
      <c r="N29" s="738" t="s">
        <v>3220</v>
      </c>
      <c r="O29" s="1158" t="s">
        <v>3221</v>
      </c>
      <c r="P29" s="1159"/>
      <c r="Q29" s="736"/>
      <c r="R29" s="736"/>
    </row>
    <row r="30" spans="1:18" ht="19" customHeight="1" thickBot="1" x14ac:dyDescent="0.5">
      <c r="B30" s="599" t="s">
        <v>3222</v>
      </c>
      <c r="C30" s="600"/>
      <c r="D30" s="459"/>
      <c r="E30" s="459"/>
      <c r="F30" s="459"/>
      <c r="G30" s="459"/>
      <c r="H30" s="459"/>
      <c r="I30" s="459"/>
      <c r="N30" s="739" t="s">
        <v>3223</v>
      </c>
      <c r="O30" s="743" t="s">
        <v>3224</v>
      </c>
      <c r="P30" s="744"/>
      <c r="Q30" s="735"/>
      <c r="R30" s="735"/>
    </row>
    <row r="31" spans="1:18" ht="16" customHeight="1" x14ac:dyDescent="0.4">
      <c r="A31" s="459"/>
      <c r="B31" s="564"/>
      <c r="C31" s="565"/>
      <c r="D31" s="459"/>
      <c r="E31" s="459"/>
      <c r="F31" s="459"/>
      <c r="G31" s="459"/>
      <c r="H31" s="459"/>
      <c r="I31" s="459"/>
    </row>
    <row r="32" spans="1:18" x14ac:dyDescent="0.35">
      <c r="A32" s="459"/>
      <c r="B32" s="566" t="s">
        <v>3225</v>
      </c>
      <c r="C32" s="460"/>
      <c r="D32" s="459" t="s">
        <v>3226</v>
      </c>
      <c r="E32" s="459">
        <v>97.9</v>
      </c>
      <c r="F32" s="459" t="s">
        <v>3197</v>
      </c>
      <c r="G32" s="459"/>
      <c r="I32" s="459"/>
    </row>
    <row r="33" spans="1:19" x14ac:dyDescent="0.35">
      <c r="A33" s="459"/>
      <c r="B33" s="567"/>
      <c r="C33" s="567" t="s">
        <v>3227</v>
      </c>
      <c r="D33" s="461"/>
      <c r="E33" s="459">
        <v>113</v>
      </c>
      <c r="F33" s="459" t="s">
        <v>3197</v>
      </c>
      <c r="G33" s="459"/>
      <c r="H33" s="459"/>
      <c r="I33" s="459"/>
    </row>
    <row r="34" spans="1:19" ht="21" customHeight="1" x14ac:dyDescent="0.5">
      <c r="A34" s="459"/>
      <c r="B34" s="583" t="s">
        <v>3228</v>
      </c>
      <c r="C34" s="584"/>
      <c r="D34" s="582"/>
      <c r="E34" s="459">
        <v>6.2</v>
      </c>
      <c r="F34" s="459" t="s">
        <v>3197</v>
      </c>
      <c r="G34" s="459"/>
      <c r="H34" s="459"/>
      <c r="I34" s="459"/>
      <c r="N34" s="644" t="s">
        <v>3229</v>
      </c>
      <c r="O34" s="644"/>
      <c r="P34" s="644"/>
    </row>
    <row r="35" spans="1:19" ht="21.5" customHeight="1" thickBot="1" x14ac:dyDescent="0.55000000000000004">
      <c r="A35" s="459"/>
      <c r="B35" s="583"/>
      <c r="C35" s="583"/>
      <c r="D35" s="582"/>
      <c r="E35" s="459"/>
      <c r="F35" s="459"/>
      <c r="G35" s="459"/>
      <c r="H35" s="459"/>
      <c r="I35" s="459"/>
      <c r="Q35" s="643"/>
      <c r="R35" s="643"/>
      <c r="S35" s="643"/>
    </row>
    <row r="36" spans="1:19" x14ac:dyDescent="0.35">
      <c r="A36" s="459"/>
      <c r="B36" s="459"/>
      <c r="C36" s="459"/>
      <c r="D36" s="459"/>
      <c r="E36" s="459"/>
      <c r="F36" s="459"/>
      <c r="G36" s="459"/>
      <c r="H36" s="459"/>
      <c r="I36" s="459"/>
      <c r="N36" s="635" t="s">
        <v>3230</v>
      </c>
      <c r="O36" s="636" t="s">
        <v>3231</v>
      </c>
      <c r="P36" s="636" t="s">
        <v>3232</v>
      </c>
      <c r="Q36" s="637" t="s">
        <v>3233</v>
      </c>
      <c r="R36" s="638"/>
      <c r="S36" s="639"/>
    </row>
    <row r="37" spans="1:19" x14ac:dyDescent="0.35">
      <c r="A37" s="459"/>
      <c r="B37" s="459" t="s">
        <v>3234</v>
      </c>
      <c r="C37" s="459"/>
      <c r="D37" s="459"/>
      <c r="E37" s="459"/>
      <c r="F37" s="459"/>
      <c r="G37" s="459"/>
      <c r="H37" s="459"/>
      <c r="I37" s="459"/>
      <c r="N37" s="623">
        <v>1</v>
      </c>
      <c r="O37" s="621" t="s">
        <v>3235</v>
      </c>
      <c r="P37" s="621" t="s">
        <v>3236</v>
      </c>
      <c r="Q37" s="621" t="s">
        <v>3237</v>
      </c>
      <c r="R37" s="634"/>
      <c r="S37" s="640"/>
    </row>
    <row r="38" spans="1:19" x14ac:dyDescent="0.35">
      <c r="A38" s="459"/>
      <c r="B38" s="459"/>
      <c r="C38" s="459"/>
      <c r="D38" s="459"/>
      <c r="E38" s="459"/>
      <c r="F38" s="459"/>
      <c r="G38" s="459"/>
      <c r="H38" s="459"/>
      <c r="I38" s="459"/>
      <c r="N38" s="623">
        <v>1</v>
      </c>
      <c r="O38" s="621" t="s">
        <v>3235</v>
      </c>
      <c r="P38" s="621" t="s">
        <v>3238</v>
      </c>
      <c r="Q38" s="621" t="s">
        <v>3239</v>
      </c>
      <c r="R38" s="634"/>
      <c r="S38" s="640"/>
    </row>
    <row r="39" spans="1:19" x14ac:dyDescent="0.35">
      <c r="A39" s="459"/>
      <c r="B39" s="459" t="s">
        <v>3240</v>
      </c>
      <c r="C39" s="459"/>
      <c r="D39" s="459">
        <f>471</f>
        <v>471</v>
      </c>
      <c r="E39" s="459" t="s">
        <v>3216</v>
      </c>
      <c r="F39" s="459"/>
      <c r="G39" s="459"/>
      <c r="H39" s="459"/>
      <c r="I39" s="459"/>
      <c r="N39" s="623">
        <v>1</v>
      </c>
      <c r="O39" s="621" t="s">
        <v>3241</v>
      </c>
      <c r="P39" s="621" t="s">
        <v>3236</v>
      </c>
      <c r="Q39" s="621" t="s">
        <v>3242</v>
      </c>
      <c r="R39" s="634"/>
      <c r="S39" s="640"/>
    </row>
    <row r="40" spans="1:19" x14ac:dyDescent="0.35">
      <c r="A40" s="459"/>
      <c r="B40" s="447" t="s">
        <v>3243</v>
      </c>
      <c r="C40" s="447"/>
      <c r="D40" s="447"/>
      <c r="E40" s="447"/>
      <c r="F40" s="447"/>
      <c r="G40" s="447"/>
      <c r="H40" s="459"/>
      <c r="I40" s="459"/>
      <c r="N40" s="623">
        <v>1</v>
      </c>
      <c r="O40" s="621" t="s">
        <v>3241</v>
      </c>
      <c r="P40" s="621" t="s">
        <v>3238</v>
      </c>
      <c r="Q40" s="621" t="s">
        <v>3244</v>
      </c>
      <c r="R40" s="634"/>
      <c r="S40" s="640"/>
    </row>
    <row r="41" spans="1:19" x14ac:dyDescent="0.35">
      <c r="A41" s="447"/>
      <c r="B41" s="447" t="s">
        <v>3245</v>
      </c>
      <c r="C41" s="447"/>
      <c r="D41" s="462">
        <f>(D27-D39)/D27</f>
        <v>0.96990607628905501</v>
      </c>
      <c r="E41" s="447"/>
      <c r="F41" s="447"/>
      <c r="G41" s="447"/>
      <c r="H41" s="459"/>
      <c r="I41" s="459"/>
      <c r="N41" s="623">
        <v>2</v>
      </c>
      <c r="O41" s="621" t="s">
        <v>3246</v>
      </c>
      <c r="P41" s="621" t="s">
        <v>3236</v>
      </c>
      <c r="Q41" s="621" t="s">
        <v>3247</v>
      </c>
      <c r="R41" s="634"/>
      <c r="S41" s="640"/>
    </row>
    <row r="42" spans="1:19" x14ac:dyDescent="0.35">
      <c r="A42" s="447"/>
      <c r="B42" s="447"/>
      <c r="C42" s="447"/>
      <c r="D42" s="447"/>
      <c r="E42" s="447"/>
      <c r="F42" s="447"/>
      <c r="G42" s="447"/>
      <c r="H42" s="459"/>
      <c r="I42" s="459"/>
      <c r="N42" s="623">
        <v>2</v>
      </c>
      <c r="O42" s="621" t="s">
        <v>3246</v>
      </c>
      <c r="P42" s="621" t="s">
        <v>3238</v>
      </c>
      <c r="Q42" s="621" t="s">
        <v>3248</v>
      </c>
      <c r="R42" s="634"/>
      <c r="S42" s="640"/>
    </row>
    <row r="43" spans="1:19" ht="16" customHeight="1" x14ac:dyDescent="0.4">
      <c r="A43" s="447"/>
      <c r="B43" s="618" t="s">
        <v>3249</v>
      </c>
      <c r="C43" s="618"/>
      <c r="D43" s="447"/>
      <c r="E43" s="447"/>
      <c r="F43" s="447"/>
      <c r="G43" s="447"/>
      <c r="H43" s="459"/>
      <c r="I43" s="459"/>
      <c r="N43" s="623">
        <v>2</v>
      </c>
      <c r="O43" s="621" t="s">
        <v>3250</v>
      </c>
      <c r="P43" s="621" t="s">
        <v>3236</v>
      </c>
      <c r="Q43" s="621" t="s">
        <v>3251</v>
      </c>
      <c r="R43" s="634"/>
      <c r="S43" s="640"/>
    </row>
    <row r="44" spans="1:19" x14ac:dyDescent="0.35">
      <c r="A44" s="447"/>
      <c r="B44" s="463" t="s">
        <v>3252</v>
      </c>
      <c r="C44" s="463"/>
      <c r="D44" s="447">
        <f>1-D41</f>
        <v>3.0093923710944992E-2</v>
      </c>
      <c r="E44" s="447"/>
      <c r="F44" s="447"/>
      <c r="G44" s="447"/>
      <c r="H44" s="459"/>
      <c r="I44" s="459"/>
      <c r="N44" s="623">
        <v>2</v>
      </c>
      <c r="O44" s="621" t="s">
        <v>3250</v>
      </c>
      <c r="P44" s="621" t="s">
        <v>3238</v>
      </c>
      <c r="Q44" s="621" t="s">
        <v>3253</v>
      </c>
      <c r="R44" s="634"/>
      <c r="S44" s="640"/>
    </row>
    <row r="45" spans="1:19" x14ac:dyDescent="0.35">
      <c r="A45" s="447"/>
      <c r="B45" s="447"/>
      <c r="C45" s="447"/>
      <c r="D45" s="447"/>
      <c r="E45" s="447"/>
      <c r="F45" s="447"/>
      <c r="G45" s="447"/>
      <c r="H45" s="459"/>
      <c r="I45" s="459"/>
      <c r="K45" s="105" t="s">
        <v>492</v>
      </c>
      <c r="N45" s="623">
        <v>3</v>
      </c>
      <c r="O45" s="621" t="s">
        <v>3254</v>
      </c>
      <c r="P45" s="621" t="s">
        <v>3255</v>
      </c>
      <c r="Q45" s="621" t="s">
        <v>3256</v>
      </c>
      <c r="R45" s="634"/>
      <c r="S45" s="640"/>
    </row>
    <row r="46" spans="1:19" x14ac:dyDescent="0.35">
      <c r="A46" s="447"/>
      <c r="B46" s="459" t="s">
        <v>3257</v>
      </c>
      <c r="C46" s="459"/>
      <c r="D46" s="459"/>
      <c r="E46" s="459"/>
      <c r="F46" s="459"/>
      <c r="G46" s="459"/>
      <c r="H46" s="459"/>
      <c r="I46" s="459"/>
      <c r="N46" s="623">
        <v>3</v>
      </c>
      <c r="O46" s="621" t="s">
        <v>3258</v>
      </c>
      <c r="P46" s="621" t="s">
        <v>3255</v>
      </c>
      <c r="Q46" s="621" t="s">
        <v>3259</v>
      </c>
      <c r="R46" s="634"/>
      <c r="S46" s="640"/>
    </row>
    <row r="47" spans="1:19" x14ac:dyDescent="0.35">
      <c r="A47" s="459"/>
      <c r="B47" s="459"/>
      <c r="C47" s="459"/>
      <c r="D47" s="459"/>
      <c r="E47" s="459"/>
      <c r="F47" s="459"/>
      <c r="G47" s="459"/>
      <c r="H47" s="459"/>
      <c r="I47" s="459"/>
      <c r="N47" s="623">
        <v>4</v>
      </c>
      <c r="O47" s="621" t="s">
        <v>3260</v>
      </c>
      <c r="P47" s="621" t="s">
        <v>3261</v>
      </c>
      <c r="Q47" s="621" t="s">
        <v>3262</v>
      </c>
      <c r="R47" s="634"/>
      <c r="S47" s="640"/>
    </row>
    <row r="48" spans="1:19" x14ac:dyDescent="0.35">
      <c r="A48" s="459"/>
      <c r="B48" s="464" t="s">
        <v>3263</v>
      </c>
      <c r="C48" s="459"/>
      <c r="D48" s="459"/>
      <c r="E48" s="465">
        <v>2</v>
      </c>
      <c r="F48" s="459"/>
      <c r="G48" s="459"/>
      <c r="H48" s="459"/>
      <c r="I48" s="459"/>
      <c r="N48" s="623">
        <v>4</v>
      </c>
      <c r="O48" s="621" t="s">
        <v>3264</v>
      </c>
      <c r="P48" s="621" t="s">
        <v>3261</v>
      </c>
      <c r="Q48" s="621" t="s">
        <v>3265</v>
      </c>
      <c r="R48" s="634"/>
      <c r="S48" s="640"/>
    </row>
    <row r="49" spans="1:19" x14ac:dyDescent="0.35">
      <c r="A49" s="459"/>
      <c r="B49" s="461" t="s">
        <v>3266</v>
      </c>
      <c r="C49" s="459"/>
      <c r="D49" s="459"/>
      <c r="E49" s="465">
        <v>4</v>
      </c>
      <c r="F49" s="459"/>
      <c r="G49" s="459"/>
      <c r="H49" s="459"/>
      <c r="I49" s="459"/>
      <c r="N49" s="623">
        <v>5</v>
      </c>
      <c r="O49" s="621" t="s">
        <v>3267</v>
      </c>
      <c r="P49" s="621" t="s">
        <v>3268</v>
      </c>
      <c r="Q49" s="621" t="s">
        <v>3269</v>
      </c>
      <c r="R49" s="621"/>
      <c r="S49" s="633"/>
    </row>
    <row r="50" spans="1:19" x14ac:dyDescent="0.35">
      <c r="A50" s="459"/>
      <c r="B50" s="459"/>
      <c r="C50" s="459"/>
      <c r="D50" s="459"/>
      <c r="E50" s="459"/>
      <c r="F50" s="459"/>
      <c r="G50" s="459"/>
      <c r="H50" s="459"/>
      <c r="I50" s="459"/>
      <c r="N50" s="623">
        <v>5</v>
      </c>
      <c r="O50" s="621" t="s">
        <v>3270</v>
      </c>
      <c r="P50" s="621" t="s">
        <v>3268</v>
      </c>
      <c r="Q50" s="621" t="s">
        <v>3271</v>
      </c>
      <c r="R50" s="621"/>
      <c r="S50" s="633"/>
    </row>
    <row r="51" spans="1:19" ht="15" customHeight="1" thickBot="1" x14ac:dyDescent="0.4">
      <c r="A51" s="459"/>
      <c r="B51" s="619" t="s">
        <v>3272</v>
      </c>
      <c r="C51" s="619"/>
      <c r="D51" s="619"/>
      <c r="E51" s="619"/>
      <c r="F51" s="620"/>
      <c r="G51" s="620"/>
      <c r="H51" s="619"/>
      <c r="I51" s="459" t="s">
        <v>3273</v>
      </c>
      <c r="N51" s="624">
        <v>6</v>
      </c>
      <c r="O51" s="622" t="s">
        <v>3274</v>
      </c>
      <c r="P51" s="622" t="s">
        <v>3275</v>
      </c>
      <c r="Q51" s="622" t="s">
        <v>3276</v>
      </c>
      <c r="R51" s="641"/>
      <c r="S51" s="642"/>
    </row>
    <row r="52" spans="1:19" ht="15" customHeight="1" thickBot="1" x14ac:dyDescent="0.4">
      <c r="A52" s="459"/>
      <c r="E52" s="581" t="s">
        <v>422</v>
      </c>
      <c r="F52" s="570">
        <f>E33/E49 + D41*(E34 + E32)/E48</f>
        <v>78.733611270845316</v>
      </c>
      <c r="G52" s="572" t="s">
        <v>3197</v>
      </c>
    </row>
    <row r="54" spans="1:19" ht="15" customHeight="1" thickBot="1" x14ac:dyDescent="0.4">
      <c r="B54" s="592" t="s">
        <v>3277</v>
      </c>
      <c r="C54" s="448"/>
      <c r="D54" s="448"/>
      <c r="E54" s="448"/>
      <c r="F54" s="448"/>
      <c r="G54" s="448"/>
    </row>
    <row r="55" spans="1:19" ht="15" customHeight="1" thickBot="1" x14ac:dyDescent="0.4">
      <c r="E55" s="581" t="s">
        <v>422</v>
      </c>
      <c r="F55" s="570">
        <f>E33/E49 + D44*(E34 + E32)/E48</f>
        <v>29.816388729154689</v>
      </c>
      <c r="G55" s="572" t="s">
        <v>3197</v>
      </c>
    </row>
    <row r="56" spans="1:19" x14ac:dyDescent="0.35">
      <c r="E56" s="439"/>
    </row>
    <row r="57" spans="1:19" x14ac:dyDescent="0.35">
      <c r="B57" s="592" t="s">
        <v>3278</v>
      </c>
      <c r="C57" s="448"/>
      <c r="D57" s="448"/>
      <c r="E57" s="439"/>
    </row>
    <row r="58" spans="1:19" x14ac:dyDescent="0.35">
      <c r="E58" s="581" t="s">
        <v>422</v>
      </c>
      <c r="F58" s="430">
        <f>2*F52 + 2*F55</f>
        <v>217.10000000000002</v>
      </c>
      <c r="G58" s="105" t="s">
        <v>3197</v>
      </c>
    </row>
    <row r="61" spans="1:19" x14ac:dyDescent="0.35">
      <c r="B61" s="105" t="s">
        <v>3279</v>
      </c>
      <c r="F61" s="430">
        <v>6000</v>
      </c>
      <c r="G61" s="105" t="s">
        <v>3216</v>
      </c>
    </row>
    <row r="62" spans="1:19" x14ac:dyDescent="0.35">
      <c r="C62" s="446" t="s">
        <v>3280</v>
      </c>
      <c r="D62" s="563"/>
      <c r="E62" s="434"/>
      <c r="F62" s="430">
        <v>4770</v>
      </c>
      <c r="G62" s="105" t="s">
        <v>3216</v>
      </c>
    </row>
    <row r="63" spans="1:19" x14ac:dyDescent="0.35">
      <c r="C63" s="562" t="s">
        <v>3281</v>
      </c>
      <c r="D63" s="437"/>
      <c r="E63" s="437"/>
      <c r="F63" s="430">
        <f>(2-F62/F61)</f>
        <v>1.2050000000000001</v>
      </c>
    </row>
    <row r="66" spans="2:6" ht="18.5" customHeight="1" x14ac:dyDescent="0.45">
      <c r="B66" s="441" t="s">
        <v>3282</v>
      </c>
      <c r="C66" s="441"/>
    </row>
    <row r="67" spans="2:6" x14ac:dyDescent="0.35">
      <c r="B67" s="105" t="s">
        <v>3283</v>
      </c>
      <c r="E67" s="105">
        <v>7</v>
      </c>
      <c r="F67" s="105" t="s">
        <v>3197</v>
      </c>
    </row>
    <row r="68" spans="2:6" ht="15" customHeight="1" thickBot="1" x14ac:dyDescent="0.4">
      <c r="B68" s="105" t="s">
        <v>3284</v>
      </c>
    </row>
    <row r="69" spans="2:6" ht="15" customHeight="1" thickBot="1" x14ac:dyDescent="0.4">
      <c r="B69" s="570" t="s">
        <v>3285</v>
      </c>
      <c r="C69" s="571"/>
      <c r="D69" s="605">
        <f>F52*F63+E67</f>
        <v>101.87400158136862</v>
      </c>
      <c r="E69" s="572" t="s">
        <v>3197</v>
      </c>
    </row>
    <row r="70" spans="2:6" ht="15" customHeight="1" thickBot="1" x14ac:dyDescent="0.4">
      <c r="B70" s="105" t="s">
        <v>3286</v>
      </c>
      <c r="D70" s="438"/>
    </row>
    <row r="71" spans="2:6" ht="15" customHeight="1" thickBot="1" x14ac:dyDescent="0.4">
      <c r="B71" s="570" t="s">
        <v>3287</v>
      </c>
      <c r="C71" s="571"/>
      <c r="D71" s="605">
        <f>F55*F63 +E67</f>
        <v>42.9287484186314</v>
      </c>
      <c r="E71" s="572" t="s">
        <v>3197</v>
      </c>
    </row>
    <row r="72" spans="2:6" x14ac:dyDescent="0.35">
      <c r="D72" s="438"/>
    </row>
    <row r="74" spans="2:6" ht="18.5" customHeight="1" x14ac:dyDescent="0.45">
      <c r="B74" s="441" t="s">
        <v>3288</v>
      </c>
      <c r="C74" s="441"/>
      <c r="D74" s="178"/>
    </row>
    <row r="75" spans="2:6" ht="19.5" customHeight="1" x14ac:dyDescent="0.35">
      <c r="B75" s="105" t="s">
        <v>3289</v>
      </c>
      <c r="E75" s="439"/>
    </row>
    <row r="76" spans="2:6" x14ac:dyDescent="0.35">
      <c r="B76" s="105" t="s">
        <v>3290</v>
      </c>
      <c r="E76" s="440"/>
    </row>
    <row r="77" spans="2:6" x14ac:dyDescent="0.35">
      <c r="B77" s="105" t="s">
        <v>3291</v>
      </c>
      <c r="E77" s="440"/>
    </row>
    <row r="78" spans="2:6" x14ac:dyDescent="0.35">
      <c r="B78" s="105" t="s">
        <v>3292</v>
      </c>
      <c r="E78" s="440"/>
    </row>
    <row r="79" spans="2:6" x14ac:dyDescent="0.35">
      <c r="B79" s="105" t="s">
        <v>3293</v>
      </c>
      <c r="E79" s="440"/>
    </row>
    <row r="80" spans="2:6" x14ac:dyDescent="0.35">
      <c r="E80" s="440"/>
    </row>
    <row r="81" spans="1:11" x14ac:dyDescent="0.35">
      <c r="B81" s="747" t="s">
        <v>3294</v>
      </c>
      <c r="C81" s="632"/>
      <c r="D81" s="632"/>
      <c r="E81" s="632"/>
      <c r="F81" s="632"/>
      <c r="G81" s="632"/>
      <c r="H81" s="632"/>
      <c r="I81" s="632"/>
      <c r="J81" s="632"/>
    </row>
    <row r="82" spans="1:11" ht="19.5" customHeight="1" x14ac:dyDescent="0.35">
      <c r="B82" s="559" t="s">
        <v>3295</v>
      </c>
      <c r="C82" s="559"/>
      <c r="D82" s="559"/>
      <c r="E82" s="560"/>
      <c r="F82" s="559"/>
      <c r="G82" s="559"/>
      <c r="H82" s="559"/>
      <c r="I82" s="559"/>
      <c r="J82" s="559"/>
      <c r="K82" s="632"/>
    </row>
    <row r="83" spans="1:11" x14ac:dyDescent="0.35">
      <c r="B83" s="561" t="s">
        <v>3296</v>
      </c>
      <c r="C83" s="559"/>
      <c r="D83" s="559"/>
      <c r="E83" s="560"/>
      <c r="F83" s="559"/>
      <c r="G83" s="559"/>
      <c r="H83" s="559"/>
      <c r="I83" s="559"/>
      <c r="J83" s="559"/>
      <c r="K83" s="559"/>
    </row>
    <row r="84" spans="1:11" ht="15" customHeight="1" thickBot="1" x14ac:dyDescent="0.4">
      <c r="E84" s="440"/>
      <c r="K84" s="559"/>
    </row>
    <row r="85" spans="1:11" ht="19" customHeight="1" thickBot="1" x14ac:dyDescent="0.45">
      <c r="B85" s="576" t="s">
        <v>3297</v>
      </c>
      <c r="C85" s="574"/>
      <c r="D85" s="574"/>
      <c r="E85" s="574"/>
      <c r="F85" s="573">
        <f>(0.2*((E34+E32)/2))*F63</f>
        <v>12.544050000000004</v>
      </c>
      <c r="G85" s="575" t="s">
        <v>3197</v>
      </c>
    </row>
    <row r="86" spans="1:11" x14ac:dyDescent="0.35">
      <c r="G86" s="440"/>
    </row>
    <row r="87" spans="1:11" x14ac:dyDescent="0.35">
      <c r="G87" s="440"/>
    </row>
    <row r="88" spans="1:11" ht="18.5" customHeight="1" x14ac:dyDescent="0.45">
      <c r="B88" s="441" t="s">
        <v>3298</v>
      </c>
      <c r="C88" s="441"/>
      <c r="G88" s="440"/>
    </row>
    <row r="89" spans="1:11" ht="15" customHeight="1" thickBot="1" x14ac:dyDescent="0.4">
      <c r="B89" s="105" t="s">
        <v>3299</v>
      </c>
    </row>
    <row r="90" spans="1:11" ht="19" customHeight="1" thickBot="1" x14ac:dyDescent="0.45">
      <c r="B90" s="601" t="s">
        <v>3300</v>
      </c>
      <c r="C90" s="602"/>
      <c r="D90" s="602"/>
      <c r="E90" s="602"/>
      <c r="F90" s="606">
        <f>0.1*(F52)*2</f>
        <v>15.746722254169065</v>
      </c>
      <c r="G90" s="603" t="s">
        <v>3197</v>
      </c>
    </row>
    <row r="92" spans="1:11" x14ac:dyDescent="0.35">
      <c r="A92" s="439"/>
    </row>
    <row r="93" spans="1:11" x14ac:dyDescent="0.35">
      <c r="A93" s="439"/>
      <c r="B93" s="439"/>
    </row>
    <row r="94" spans="1:11" ht="18.5" customHeight="1" x14ac:dyDescent="0.45">
      <c r="B94" s="578" t="s">
        <v>3301</v>
      </c>
      <c r="C94" s="579"/>
      <c r="D94" s="745"/>
      <c r="E94" s="745"/>
    </row>
    <row r="95" spans="1:11" ht="16" customHeight="1" x14ac:dyDescent="0.4">
      <c r="B95" s="510"/>
      <c r="C95" s="442"/>
    </row>
    <row r="96" spans="1:11" ht="16" customHeight="1" x14ac:dyDescent="0.4">
      <c r="B96" s="154" t="s">
        <v>3302</v>
      </c>
      <c r="C96" s="70"/>
    </row>
    <row r="97" spans="2:11" ht="16" customHeight="1" x14ac:dyDescent="0.4">
      <c r="B97" s="580" t="s">
        <v>3303</v>
      </c>
      <c r="C97" s="558"/>
      <c r="D97" s="558"/>
      <c r="E97" s="558"/>
      <c r="G97" s="448" t="s">
        <v>3304</v>
      </c>
      <c r="H97" s="448"/>
      <c r="I97" s="448"/>
      <c r="J97" s="448"/>
    </row>
    <row r="98" spans="2:11" ht="16" customHeight="1" x14ac:dyDescent="0.4">
      <c r="B98" s="580"/>
      <c r="C98" s="558"/>
      <c r="D98" s="558"/>
      <c r="E98" s="558"/>
      <c r="G98" s="448"/>
      <c r="H98" s="448"/>
      <c r="I98" s="448"/>
      <c r="J98" s="448"/>
    </row>
    <row r="99" spans="2:11" x14ac:dyDescent="0.35">
      <c r="B99" s="439"/>
    </row>
    <row r="100" spans="2:11" ht="16" customHeight="1" x14ac:dyDescent="0.4">
      <c r="B100" s="154" t="s">
        <v>3305</v>
      </c>
      <c r="C100" s="154"/>
    </row>
    <row r="101" spans="2:11" ht="16" customHeight="1" x14ac:dyDescent="0.4">
      <c r="B101" s="580" t="s">
        <v>3306</v>
      </c>
      <c r="C101" s="558"/>
      <c r="G101" s="448" t="s">
        <v>3307</v>
      </c>
      <c r="H101" s="448"/>
      <c r="I101" s="448"/>
      <c r="J101" s="448"/>
    </row>
    <row r="102" spans="2:11" x14ac:dyDescent="0.35">
      <c r="B102" t="s">
        <v>3308</v>
      </c>
    </row>
    <row r="103" spans="2:11" ht="18.5" customHeight="1" x14ac:dyDescent="0.45">
      <c r="B103" s="604" t="s">
        <v>3309</v>
      </c>
      <c r="C103" s="604"/>
      <c r="G103" s="448" t="s">
        <v>3310</v>
      </c>
      <c r="H103" s="448"/>
      <c r="I103" s="448"/>
      <c r="J103" s="448"/>
    </row>
    <row r="104" spans="2:11" x14ac:dyDescent="0.35">
      <c r="G104" s="448" t="s">
        <v>3311</v>
      </c>
      <c r="H104" s="448"/>
      <c r="I104" s="448"/>
      <c r="J104" s="448"/>
      <c r="K104" s="448"/>
    </row>
    <row r="105" spans="2:11" x14ac:dyDescent="0.35">
      <c r="H105" s="448"/>
      <c r="I105" s="448"/>
      <c r="J105" s="448"/>
      <c r="K105" s="448"/>
    </row>
    <row r="106" spans="2:11" ht="18.5" customHeight="1" x14ac:dyDescent="0.4">
      <c r="B106" s="589" t="s">
        <v>3312</v>
      </c>
      <c r="C106" s="178"/>
      <c r="D106" s="178"/>
      <c r="E106" s="178"/>
      <c r="F106" s="178"/>
      <c r="G106" s="178"/>
      <c r="H106" s="178"/>
      <c r="K106" s="448"/>
    </row>
    <row r="107" spans="2:11" ht="16.5" customHeight="1" thickBot="1" x14ac:dyDescent="0.45">
      <c r="B107" s="591" t="s">
        <v>3313</v>
      </c>
      <c r="C107" s="577"/>
      <c r="K107" s="448"/>
    </row>
    <row r="108" spans="2:11" ht="21.5" customHeight="1" thickBot="1" x14ac:dyDescent="0.45">
      <c r="B108" s="436"/>
      <c r="D108" s="598" t="s">
        <v>3314</v>
      </c>
      <c r="E108" s="607">
        <f>MAX(2*(F90),1*E33)</f>
        <v>113</v>
      </c>
      <c r="F108" s="596" t="s">
        <v>3197</v>
      </c>
      <c r="G108" s="476"/>
      <c r="H108" s="448"/>
      <c r="I108" s="448"/>
      <c r="J108" s="448"/>
      <c r="K108" s="448"/>
    </row>
    <row r="109" spans="2:11" x14ac:dyDescent="0.35">
      <c r="B109" s="436"/>
      <c r="K109" s="448"/>
    </row>
    <row r="110" spans="2:11" ht="19" customHeight="1" thickBot="1" x14ac:dyDescent="0.4">
      <c r="B110" s="590" t="s">
        <v>3315</v>
      </c>
      <c r="D110" s="585"/>
      <c r="E110" s="586"/>
      <c r="G110" s="448"/>
      <c r="H110" s="448"/>
      <c r="I110" s="448"/>
      <c r="J110" s="448"/>
    </row>
    <row r="111" spans="2:11" ht="19" customHeight="1" thickBot="1" x14ac:dyDescent="0.45">
      <c r="B111" s="436"/>
      <c r="D111" s="597" t="s">
        <v>3316</v>
      </c>
      <c r="E111" s="606">
        <f>(E33+E34+E32)/E49</f>
        <v>54.275000000000006</v>
      </c>
      <c r="F111" s="596" t="s">
        <v>3197</v>
      </c>
      <c r="G111" s="448"/>
      <c r="H111" s="448"/>
      <c r="I111" s="448"/>
      <c r="J111" s="448"/>
      <c r="K111" s="448"/>
    </row>
    <row r="112" spans="2:11" x14ac:dyDescent="0.35">
      <c r="B112" s="436"/>
      <c r="D112" s="588"/>
      <c r="E112" s="432"/>
      <c r="F112" s="432"/>
      <c r="G112" s="448"/>
      <c r="H112" s="448"/>
      <c r="I112" s="448"/>
      <c r="J112" s="448"/>
      <c r="K112" s="448"/>
    </row>
    <row r="113" spans="2:11" ht="18.5" customHeight="1" x14ac:dyDescent="0.35">
      <c r="B113" s="590" t="s">
        <v>3317</v>
      </c>
      <c r="D113" s="588"/>
      <c r="K113" s="448"/>
    </row>
    <row r="114" spans="2:11" x14ac:dyDescent="0.35">
      <c r="C114" s="476" t="s">
        <v>3318</v>
      </c>
      <c r="D114" s="476">
        <v>1.25</v>
      </c>
      <c r="E114" s="594" t="s">
        <v>3319</v>
      </c>
      <c r="F114" s="593">
        <v>1.1000000000000001</v>
      </c>
      <c r="G114" s="448" t="s">
        <v>3320</v>
      </c>
      <c r="H114" s="448"/>
      <c r="I114" s="448"/>
      <c r="J114" s="448"/>
    </row>
    <row r="115" spans="2:11" ht="15" customHeight="1" thickBot="1" x14ac:dyDescent="0.4">
      <c r="D115" s="585"/>
      <c r="E115" s="586"/>
      <c r="G115" s="448"/>
      <c r="H115" s="448"/>
      <c r="I115" s="448"/>
      <c r="J115" s="448"/>
      <c r="K115" s="448"/>
    </row>
    <row r="116" spans="2:11" ht="19" customHeight="1" thickBot="1" x14ac:dyDescent="0.45">
      <c r="D116" s="595" t="s">
        <v>3321</v>
      </c>
      <c r="E116" s="607">
        <f>(D114-1)*E111</f>
        <v>13.568750000000001</v>
      </c>
      <c r="F116" s="596" t="s">
        <v>3197</v>
      </c>
      <c r="G116" s="448"/>
      <c r="H116" s="448"/>
      <c r="I116" s="448"/>
      <c r="J116" s="448"/>
      <c r="K116" s="448"/>
    </row>
    <row r="117" spans="2:11" x14ac:dyDescent="0.35">
      <c r="G117" s="448"/>
      <c r="H117" s="448"/>
      <c r="I117" s="448"/>
      <c r="J117" s="448"/>
      <c r="K117" s="448"/>
    </row>
    <row r="118" spans="2:11" x14ac:dyDescent="0.35">
      <c r="B118" t="s">
        <v>3322</v>
      </c>
      <c r="G118" s="448"/>
      <c r="H118" s="448"/>
      <c r="I118" s="448"/>
      <c r="J118" s="448"/>
      <c r="K118" s="448"/>
    </row>
    <row r="119" spans="2:11" x14ac:dyDescent="0.35">
      <c r="B119" s="105" t="s">
        <v>3323</v>
      </c>
      <c r="G119" s="448"/>
      <c r="H119" s="448"/>
      <c r="I119" s="448"/>
      <c r="J119" s="448"/>
      <c r="K119" s="448"/>
    </row>
    <row r="120" spans="2:11" x14ac:dyDescent="0.35">
      <c r="K120" s="448"/>
    </row>
    <row r="121" spans="2:11" x14ac:dyDescent="0.35">
      <c r="B121" s="448" t="s">
        <v>3324</v>
      </c>
      <c r="C121" s="448"/>
      <c r="D121" s="448"/>
    </row>
    <row r="122" spans="2:11" x14ac:dyDescent="0.35">
      <c r="B122" s="448" t="s">
        <v>3325</v>
      </c>
      <c r="C122" s="448"/>
      <c r="D122" s="448"/>
    </row>
    <row r="123" spans="2:11" x14ac:dyDescent="0.35">
      <c r="B123" s="448"/>
      <c r="C123" s="448"/>
      <c r="D123" s="448"/>
    </row>
    <row r="124" spans="2:11" x14ac:dyDescent="0.35">
      <c r="B124" s="448" t="s">
        <v>3326</v>
      </c>
    </row>
    <row r="125" spans="2:11" ht="15" customHeight="1" thickBot="1" x14ac:dyDescent="0.4">
      <c r="B125" s="448"/>
      <c r="C125" s="448"/>
      <c r="D125" s="448"/>
    </row>
    <row r="126" spans="2:11" x14ac:dyDescent="0.35">
      <c r="B126" s="609" t="s">
        <v>3327</v>
      </c>
      <c r="C126" s="610">
        <f>E111+0.5*(F85)</f>
        <v>60.547025000000005</v>
      </c>
      <c r="D126" s="610" t="s">
        <v>3328</v>
      </c>
      <c r="E126" s="610" t="s">
        <v>3329</v>
      </c>
      <c r="F126" s="617"/>
      <c r="G126" s="611"/>
    </row>
    <row r="127" spans="2:11" x14ac:dyDescent="0.35">
      <c r="B127" s="612" t="s">
        <v>3330</v>
      </c>
      <c r="C127" s="608">
        <f>E111+E116+F85+F90</f>
        <v>96.13452225416907</v>
      </c>
      <c r="D127" s="608" t="s">
        <v>3328</v>
      </c>
      <c r="E127" s="608" t="s">
        <v>3331</v>
      </c>
      <c r="F127" s="608"/>
      <c r="G127" s="613"/>
    </row>
    <row r="128" spans="2:11" ht="15" customHeight="1" thickBot="1" x14ac:dyDescent="0.4">
      <c r="B128" s="614" t="s">
        <v>3332</v>
      </c>
      <c r="C128" s="615">
        <f>E111+E116+E108</f>
        <v>180.84375</v>
      </c>
      <c r="D128" s="615" t="s">
        <v>3328</v>
      </c>
      <c r="E128" s="615" t="s">
        <v>3333</v>
      </c>
      <c r="F128" s="615"/>
      <c r="G128" s="616"/>
    </row>
    <row r="131" spans="2:2" ht="16" customHeight="1" x14ac:dyDescent="0.4">
      <c r="B131" s="178"/>
    </row>
    <row r="134" spans="2:2" ht="16" customHeight="1" x14ac:dyDescent="0.4">
      <c r="B134" s="746"/>
    </row>
  </sheetData>
  <mergeCells count="6">
    <mergeCell ref="O29:P29"/>
    <mergeCell ref="O12:P12"/>
    <mergeCell ref="O13:P13"/>
    <mergeCell ref="O27:P27"/>
    <mergeCell ref="O28:P28"/>
    <mergeCell ref="O19:P19"/>
  </mergeCells>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
  <sheetViews>
    <sheetView view="pageBreakPreview" topLeftCell="A16" zoomScale="85" zoomScaleNormal="70" zoomScaleSheetLayoutView="85" workbookViewId="0">
      <selection activeCell="Y33" sqref="Y33"/>
    </sheetView>
  </sheetViews>
  <sheetFormatPr defaultRowHeight="14.5" x14ac:dyDescent="0.35"/>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4E0D6-8B2D-4BA4-817D-B87AF8CFA713}">
  <dimension ref="A2:B111"/>
  <sheetViews>
    <sheetView tabSelected="1" topLeftCell="A5" workbookViewId="0">
      <selection activeCell="I17" sqref="I17"/>
    </sheetView>
  </sheetViews>
  <sheetFormatPr defaultRowHeight="14.5" x14ac:dyDescent="0.35"/>
  <sheetData>
    <row r="2" spans="1:2" x14ac:dyDescent="0.35">
      <c r="A2" t="s">
        <v>3365</v>
      </c>
    </row>
    <row r="4" spans="1:2" x14ac:dyDescent="0.35">
      <c r="A4" s="1161" t="s">
        <v>3366</v>
      </c>
      <c r="B4" t="s">
        <v>3365</v>
      </c>
    </row>
    <row r="6" spans="1:2" x14ac:dyDescent="0.35">
      <c r="A6" t="s">
        <v>3367</v>
      </c>
      <c r="B6" s="1161" t="s">
        <v>3366</v>
      </c>
    </row>
    <row r="8" spans="1:2" x14ac:dyDescent="0.35">
      <c r="B8" t="s">
        <v>3367</v>
      </c>
    </row>
    <row r="10" spans="1:2" ht="17.5" x14ac:dyDescent="0.35">
      <c r="A10" s="856" t="s">
        <v>3368</v>
      </c>
    </row>
    <row r="11" spans="1:2" x14ac:dyDescent="0.35">
      <c r="A11" s="226"/>
    </row>
    <row r="12" spans="1:2" ht="17.5" x14ac:dyDescent="0.35">
      <c r="A12" s="758" t="s">
        <v>3369</v>
      </c>
      <c r="B12" s="856" t="s">
        <v>3368</v>
      </c>
    </row>
    <row r="13" spans="1:2" x14ac:dyDescent="0.35">
      <c r="A13" s="226"/>
      <c r="B13" s="226"/>
    </row>
    <row r="14" spans="1:2" x14ac:dyDescent="0.35">
      <c r="A14" s="758" t="s">
        <v>3370</v>
      </c>
      <c r="B14" s="758" t="s">
        <v>3369</v>
      </c>
    </row>
    <row r="15" spans="1:2" x14ac:dyDescent="0.35">
      <c r="A15" s="226"/>
      <c r="B15" s="226"/>
    </row>
    <row r="16" spans="1:2" x14ac:dyDescent="0.35">
      <c r="A16" s="758" t="s">
        <v>3371</v>
      </c>
      <c r="B16" s="758" t="s">
        <v>3370</v>
      </c>
    </row>
    <row r="17" spans="1:2" x14ac:dyDescent="0.35">
      <c r="A17" s="226"/>
      <c r="B17" s="226"/>
    </row>
    <row r="18" spans="1:2" x14ac:dyDescent="0.35">
      <c r="A18" s="226"/>
      <c r="B18" s="758" t="s">
        <v>3371</v>
      </c>
    </row>
    <row r="19" spans="1:2" x14ac:dyDescent="0.35">
      <c r="A19" s="857"/>
      <c r="B19" s="226"/>
    </row>
    <row r="20" spans="1:2" x14ac:dyDescent="0.35">
      <c r="A20" s="857" t="s">
        <v>3372</v>
      </c>
      <c r="B20" s="226"/>
    </row>
    <row r="21" spans="1:2" x14ac:dyDescent="0.35">
      <c r="A21" s="857"/>
      <c r="B21" s="857"/>
    </row>
    <row r="22" spans="1:2" x14ac:dyDescent="0.35">
      <c r="A22" s="857" t="s">
        <v>3373</v>
      </c>
      <c r="B22" s="857" t="s">
        <v>3372</v>
      </c>
    </row>
    <row r="23" spans="1:2" x14ac:dyDescent="0.35">
      <c r="B23" s="857"/>
    </row>
    <row r="24" spans="1:2" x14ac:dyDescent="0.35">
      <c r="A24" t="s">
        <v>3374</v>
      </c>
      <c r="B24" s="857" t="s">
        <v>3373</v>
      </c>
    </row>
    <row r="25" spans="1:2" x14ac:dyDescent="0.35">
      <c r="A25" t="s">
        <v>3375</v>
      </c>
    </row>
    <row r="26" spans="1:2" x14ac:dyDescent="0.35">
      <c r="B26" t="s">
        <v>3374</v>
      </c>
    </row>
    <row r="27" spans="1:2" x14ac:dyDescent="0.35">
      <c r="B27" t="s">
        <v>3375</v>
      </c>
    </row>
    <row r="29" spans="1:2" ht="17.5" x14ac:dyDescent="0.35">
      <c r="A29" s="856" t="s">
        <v>3376</v>
      </c>
    </row>
    <row r="30" spans="1:2" x14ac:dyDescent="0.35">
      <c r="A30" s="226"/>
    </row>
    <row r="31" spans="1:2" ht="17.5" x14ac:dyDescent="0.35">
      <c r="A31" s="758" t="s">
        <v>3377</v>
      </c>
      <c r="B31" s="856" t="s">
        <v>3376</v>
      </c>
    </row>
    <row r="32" spans="1:2" x14ac:dyDescent="0.35">
      <c r="A32" s="226"/>
      <c r="B32" s="226"/>
    </row>
    <row r="33" spans="1:2" x14ac:dyDescent="0.35">
      <c r="A33" s="226" t="s">
        <v>3378</v>
      </c>
      <c r="B33" s="758" t="s">
        <v>3377</v>
      </c>
    </row>
    <row r="34" spans="1:2" x14ac:dyDescent="0.35">
      <c r="A34" s="226"/>
      <c r="B34" s="226"/>
    </row>
    <row r="35" spans="1:2" x14ac:dyDescent="0.35">
      <c r="A35" s="226" t="s">
        <v>3379</v>
      </c>
      <c r="B35" s="226" t="s">
        <v>3378</v>
      </c>
    </row>
    <row r="36" spans="1:2" x14ac:dyDescent="0.35">
      <c r="A36" s="226"/>
      <c r="B36" s="226"/>
    </row>
    <row r="37" spans="1:2" x14ac:dyDescent="0.35">
      <c r="A37" s="226" t="s">
        <v>3380</v>
      </c>
      <c r="B37" s="226" t="s">
        <v>3379</v>
      </c>
    </row>
    <row r="38" spans="1:2" x14ac:dyDescent="0.35">
      <c r="B38" s="226"/>
    </row>
    <row r="39" spans="1:2" x14ac:dyDescent="0.35">
      <c r="B39" s="226" t="s">
        <v>3380</v>
      </c>
    </row>
    <row r="41" spans="1:2" ht="17.5" x14ac:dyDescent="0.35">
      <c r="A41" s="856" t="s">
        <v>3381</v>
      </c>
    </row>
    <row r="42" spans="1:2" x14ac:dyDescent="0.35">
      <c r="A42" s="226"/>
    </row>
    <row r="43" spans="1:2" ht="17.5" x14ac:dyDescent="0.35">
      <c r="A43" s="758" t="s">
        <v>3382</v>
      </c>
      <c r="B43" s="856" t="s">
        <v>3381</v>
      </c>
    </row>
    <row r="44" spans="1:2" x14ac:dyDescent="0.35">
      <c r="A44" s="226"/>
      <c r="B44" s="226"/>
    </row>
    <row r="45" spans="1:2" x14ac:dyDescent="0.35">
      <c r="A45" s="758" t="s">
        <v>3383</v>
      </c>
      <c r="B45" s="758" t="s">
        <v>3382</v>
      </c>
    </row>
    <row r="46" spans="1:2" x14ac:dyDescent="0.35">
      <c r="A46" s="226"/>
      <c r="B46" s="226"/>
    </row>
    <row r="47" spans="1:2" x14ac:dyDescent="0.35">
      <c r="A47" s="758" t="s">
        <v>3384</v>
      </c>
      <c r="B47" s="758" t="s">
        <v>3383</v>
      </c>
    </row>
    <row r="48" spans="1:2" x14ac:dyDescent="0.35">
      <c r="A48" s="226"/>
      <c r="B48" s="226"/>
    </row>
    <row r="49" spans="1:2" x14ac:dyDescent="0.35">
      <c r="A49" s="758" t="s">
        <v>3385</v>
      </c>
      <c r="B49" s="758" t="s">
        <v>3384</v>
      </c>
    </row>
    <row r="50" spans="1:2" x14ac:dyDescent="0.35">
      <c r="A50" s="226"/>
      <c r="B50" s="226"/>
    </row>
    <row r="51" spans="1:2" x14ac:dyDescent="0.35">
      <c r="A51" s="758" t="s">
        <v>3386</v>
      </c>
      <c r="B51" s="758" t="s">
        <v>3385</v>
      </c>
    </row>
    <row r="52" spans="1:2" x14ac:dyDescent="0.35">
      <c r="B52" s="226"/>
    </row>
    <row r="53" spans="1:2" x14ac:dyDescent="0.35">
      <c r="B53" s="758" t="s">
        <v>3386</v>
      </c>
    </row>
    <row r="55" spans="1:2" ht="17.5" x14ac:dyDescent="0.35">
      <c r="A55" s="856" t="s">
        <v>3387</v>
      </c>
    </row>
    <row r="57" spans="1:2" ht="17.5" x14ac:dyDescent="0.35">
      <c r="A57" t="s">
        <v>3388</v>
      </c>
      <c r="B57" s="856" t="s">
        <v>3387</v>
      </c>
    </row>
    <row r="58" spans="1:2" x14ac:dyDescent="0.35">
      <c r="A58" s="226"/>
    </row>
    <row r="59" spans="1:2" x14ac:dyDescent="0.35">
      <c r="A59" s="758" t="s">
        <v>3389</v>
      </c>
      <c r="B59" t="s">
        <v>3388</v>
      </c>
    </row>
    <row r="60" spans="1:2" x14ac:dyDescent="0.35">
      <c r="A60" s="226" t="s">
        <v>3390</v>
      </c>
      <c r="B60" s="226"/>
    </row>
    <row r="61" spans="1:2" x14ac:dyDescent="0.35">
      <c r="A61" s="226"/>
      <c r="B61" s="758" t="s">
        <v>3389</v>
      </c>
    </row>
    <row r="62" spans="1:2" x14ac:dyDescent="0.35">
      <c r="A62" s="758" t="s">
        <v>3391</v>
      </c>
      <c r="B62" s="226" t="s">
        <v>3390</v>
      </c>
    </row>
    <row r="63" spans="1:2" x14ac:dyDescent="0.35">
      <c r="A63" s="226" t="s">
        <v>3392</v>
      </c>
      <c r="B63" s="226"/>
    </row>
    <row r="64" spans="1:2" x14ac:dyDescent="0.35">
      <c r="A64" s="226"/>
      <c r="B64" s="758" t="s">
        <v>3391</v>
      </c>
    </row>
    <row r="65" spans="1:2" x14ac:dyDescent="0.35">
      <c r="A65" s="758" t="s">
        <v>3393</v>
      </c>
      <c r="B65" s="226" t="s">
        <v>3392</v>
      </c>
    </row>
    <row r="66" spans="1:2" x14ac:dyDescent="0.35">
      <c r="A66" s="226"/>
      <c r="B66" s="226"/>
    </row>
    <row r="67" spans="1:2" x14ac:dyDescent="0.35">
      <c r="A67" s="758" t="s">
        <v>3394</v>
      </c>
      <c r="B67" s="758" t="s">
        <v>3393</v>
      </c>
    </row>
    <row r="68" spans="1:2" x14ac:dyDescent="0.35">
      <c r="A68" s="226"/>
      <c r="B68" s="226"/>
    </row>
    <row r="69" spans="1:2" x14ac:dyDescent="0.35">
      <c r="A69" s="758" t="s">
        <v>3395</v>
      </c>
      <c r="B69" s="758" t="s">
        <v>3394</v>
      </c>
    </row>
    <row r="70" spans="1:2" x14ac:dyDescent="0.35">
      <c r="B70" s="226"/>
    </row>
    <row r="71" spans="1:2" x14ac:dyDescent="0.35">
      <c r="B71" s="758" t="s">
        <v>3395</v>
      </c>
    </row>
    <row r="73" spans="1:2" ht="17.5" x14ac:dyDescent="0.35">
      <c r="A73" s="856" t="s">
        <v>3396</v>
      </c>
    </row>
    <row r="74" spans="1:2" x14ac:dyDescent="0.35">
      <c r="A74" s="226"/>
    </row>
    <row r="75" spans="1:2" ht="17.5" x14ac:dyDescent="0.35">
      <c r="A75" s="226" t="s">
        <v>3397</v>
      </c>
      <c r="B75" s="856" t="s">
        <v>3396</v>
      </c>
    </row>
    <row r="76" spans="1:2" x14ac:dyDescent="0.35">
      <c r="A76" s="226"/>
      <c r="B76" s="226"/>
    </row>
    <row r="77" spans="1:2" x14ac:dyDescent="0.35">
      <c r="A77" s="226"/>
      <c r="B77" s="226" t="s">
        <v>3397</v>
      </c>
    </row>
    <row r="78" spans="1:2" x14ac:dyDescent="0.35">
      <c r="A78" s="857"/>
      <c r="B78" s="226"/>
    </row>
    <row r="79" spans="1:2" x14ac:dyDescent="0.35">
      <c r="A79" s="857" t="s">
        <v>3398</v>
      </c>
      <c r="B79" s="226"/>
    </row>
    <row r="80" spans="1:2" x14ac:dyDescent="0.35">
      <c r="A80" s="857"/>
      <c r="B80" s="857"/>
    </row>
    <row r="81" spans="1:2" x14ac:dyDescent="0.35">
      <c r="A81" s="857" t="s">
        <v>3399</v>
      </c>
      <c r="B81" s="857" t="s">
        <v>3398</v>
      </c>
    </row>
    <row r="82" spans="1:2" x14ac:dyDescent="0.35">
      <c r="A82" s="226"/>
      <c r="B82" s="857"/>
    </row>
    <row r="83" spans="1:2" x14ac:dyDescent="0.35">
      <c r="A83" s="226" t="s">
        <v>3400</v>
      </c>
      <c r="B83" s="857" t="s">
        <v>3399</v>
      </c>
    </row>
    <row r="84" spans="1:2" x14ac:dyDescent="0.35">
      <c r="B84" s="226"/>
    </row>
    <row r="85" spans="1:2" x14ac:dyDescent="0.35">
      <c r="B85" s="226" t="s">
        <v>3400</v>
      </c>
    </row>
    <row r="87" spans="1:2" ht="17.5" x14ac:dyDescent="0.35">
      <c r="A87" s="856" t="s">
        <v>3401</v>
      </c>
    </row>
    <row r="88" spans="1:2" x14ac:dyDescent="0.35">
      <c r="A88" s="226"/>
    </row>
    <row r="89" spans="1:2" ht="17.5" x14ac:dyDescent="0.35">
      <c r="A89" s="226" t="s">
        <v>3402</v>
      </c>
      <c r="B89" s="856" t="s">
        <v>3401</v>
      </c>
    </row>
    <row r="90" spans="1:2" x14ac:dyDescent="0.35">
      <c r="A90" s="226"/>
      <c r="B90" s="226"/>
    </row>
    <row r="91" spans="1:2" x14ac:dyDescent="0.35">
      <c r="A91" s="226" t="s">
        <v>3403</v>
      </c>
      <c r="B91" s="226" t="s">
        <v>3402</v>
      </c>
    </row>
    <row r="92" spans="1:2" x14ac:dyDescent="0.35">
      <c r="A92" s="226"/>
      <c r="B92" s="226"/>
    </row>
    <row r="93" spans="1:2" x14ac:dyDescent="0.35">
      <c r="A93" s="226" t="s">
        <v>3404</v>
      </c>
      <c r="B93" s="226" t="s">
        <v>3403</v>
      </c>
    </row>
    <row r="94" spans="1:2" x14ac:dyDescent="0.35">
      <c r="B94" s="226"/>
    </row>
    <row r="95" spans="1:2" x14ac:dyDescent="0.35">
      <c r="B95" s="226" t="s">
        <v>3404</v>
      </c>
    </row>
    <row r="97" spans="1:2" x14ac:dyDescent="0.35">
      <c r="A97" t="s">
        <v>3405</v>
      </c>
    </row>
    <row r="98" spans="1:2" x14ac:dyDescent="0.35">
      <c r="A98" s="226"/>
    </row>
    <row r="99" spans="1:2" x14ac:dyDescent="0.35">
      <c r="A99" s="226" t="s">
        <v>3406</v>
      </c>
      <c r="B99" t="s">
        <v>3405</v>
      </c>
    </row>
    <row r="100" spans="1:2" x14ac:dyDescent="0.35">
      <c r="A100" s="226"/>
      <c r="B100" s="226"/>
    </row>
    <row r="101" spans="1:2" x14ac:dyDescent="0.35">
      <c r="A101" s="226" t="s">
        <v>3407</v>
      </c>
      <c r="B101" s="226" t="s">
        <v>3406</v>
      </c>
    </row>
    <row r="102" spans="1:2" x14ac:dyDescent="0.35">
      <c r="A102" s="226"/>
      <c r="B102" s="226"/>
    </row>
    <row r="103" spans="1:2" x14ac:dyDescent="0.35">
      <c r="A103" s="226" t="s">
        <v>3408</v>
      </c>
      <c r="B103" s="226" t="s">
        <v>3407</v>
      </c>
    </row>
    <row r="104" spans="1:2" x14ac:dyDescent="0.35">
      <c r="A104" s="226"/>
      <c r="B104" s="226"/>
    </row>
    <row r="105" spans="1:2" x14ac:dyDescent="0.35">
      <c r="A105" s="226" t="s">
        <v>3409</v>
      </c>
      <c r="B105" s="226" t="s">
        <v>3408</v>
      </c>
    </row>
    <row r="106" spans="1:2" x14ac:dyDescent="0.35">
      <c r="B106" s="226"/>
    </row>
    <row r="107" spans="1:2" x14ac:dyDescent="0.35">
      <c r="B107" s="226" t="s">
        <v>3409</v>
      </c>
    </row>
    <row r="109" spans="1:2" x14ac:dyDescent="0.35">
      <c r="A109" t="s">
        <v>3410</v>
      </c>
    </row>
    <row r="110" spans="1:2" x14ac:dyDescent="0.35">
      <c r="A110" t="s">
        <v>3410</v>
      </c>
    </row>
    <row r="111" spans="1:2" x14ac:dyDescent="0.35">
      <c r="B111" t="s">
        <v>3410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40</vt:i4>
      </vt:variant>
    </vt:vector>
  </HeadingPairs>
  <TitlesOfParts>
    <vt:vector size="57" baseType="lpstr">
      <vt:lpstr>ULS Load Combination</vt:lpstr>
      <vt:lpstr>SLS Load Combinations</vt:lpstr>
      <vt:lpstr>LoadComb Lifting + Transportati</vt:lpstr>
      <vt:lpstr>Dead &amp; Live Loads</vt:lpstr>
      <vt:lpstr>Wind, Snow &amp; Seismic (Building)</vt:lpstr>
      <vt:lpstr>Wind, Snow &amp; Seismic (Piperack)</vt:lpstr>
      <vt:lpstr>Table C-1 (NBCC 2020)</vt:lpstr>
      <vt:lpstr>Table C-2 (NBCC 2020)</vt:lpstr>
      <vt:lpstr>Look Up</vt:lpstr>
      <vt:lpstr>Calcs</vt:lpstr>
      <vt:lpstr>Query</vt:lpstr>
      <vt:lpstr>Seismic Loads</vt:lpstr>
      <vt:lpstr>Wind Distributation</vt:lpstr>
      <vt:lpstr>Tie-Ins</vt:lpstr>
      <vt:lpstr>Crane Loads</vt:lpstr>
      <vt:lpstr>Site Data</vt:lpstr>
      <vt:lpstr>Lifting Lugs</vt:lpstr>
      <vt:lpstr>Cities_Alberta</vt:lpstr>
      <vt:lpstr>Cities_BritishColumbia</vt:lpstr>
      <vt:lpstr>Cities_Manitoba</vt:lpstr>
      <vt:lpstr>Cities_NorthwestTerritories</vt:lpstr>
      <vt:lpstr>Cities_NovaScotia</vt:lpstr>
      <vt:lpstr>Cities_Nunavut</vt:lpstr>
      <vt:lpstr>Cities_Ontario</vt:lpstr>
      <vt:lpstr>Cities_PrinceEdwardIsland</vt:lpstr>
      <vt:lpstr>Cities_Quebec</vt:lpstr>
      <vt:lpstr>Cities_Saskatchewan</vt:lpstr>
      <vt:lpstr>Cities_Yukon</vt:lpstr>
      <vt:lpstr>CityKey</vt:lpstr>
      <vt:lpstr>Data_15_min_Rain_mm</vt:lpstr>
      <vt:lpstr>Data_Ann_Total_Ppn_mm</vt:lpstr>
      <vt:lpstr>Data_Annual_Rain_mm</vt:lpstr>
      <vt:lpstr>Data_Degree_Days_18_C</vt:lpstr>
      <vt:lpstr>Data_Driving_Rain_Pressure_Pa_1_5</vt:lpstr>
      <vt:lpstr>Data_Elev_m</vt:lpstr>
      <vt:lpstr>Data_Hourly_Wind_kPa_1_10</vt:lpstr>
      <vt:lpstr>Data_Hourly_Wind_kPa_1_50</vt:lpstr>
      <vt:lpstr>Data_Jan_1_C</vt:lpstr>
      <vt:lpstr>Data_Jan_2_5_C</vt:lpstr>
      <vt:lpstr>Data_Jul_2_5_Dry_C</vt:lpstr>
      <vt:lpstr>Data_Jul_2_5_Wet_C</vt:lpstr>
      <vt:lpstr>Data_Moist_Index</vt:lpstr>
      <vt:lpstr>Data_One_Day_Rain_1_50_mm</vt:lpstr>
      <vt:lpstr>Data_Province</vt:lpstr>
      <vt:lpstr>Data_Province_and_Location</vt:lpstr>
      <vt:lpstr>Data_Snow_Sr_kPa_1_50</vt:lpstr>
      <vt:lpstr>Data_Snow_Ss_kPa_1_50</vt:lpstr>
      <vt:lpstr>'Wind, Snow &amp; Seismic (Building)'!Primary</vt:lpstr>
      <vt:lpstr>'Wind, Snow &amp; Seismic (Piperack)'!Primary</vt:lpstr>
      <vt:lpstr>'Site Data'!Print_Area</vt:lpstr>
      <vt:lpstr>'Wind Distributation'!Print_Area</vt:lpstr>
      <vt:lpstr>'Wind, Snow &amp; Seismic (Building)'!Print_Area</vt:lpstr>
      <vt:lpstr>'Wind, Snow &amp; Seismic (Piperack)'!Print_Area</vt:lpstr>
      <vt:lpstr>Province_List</vt:lpstr>
      <vt:lpstr>'Wind, Snow &amp; Seismic (Building)'!Secondary</vt:lpstr>
      <vt:lpstr>'Wind, Snow &amp; Seismic (Piperack)'!Secondary</vt:lpstr>
      <vt:lpstr>Table_C1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IESP</dc:title>
  <dc:subject>ASU Main Building - Wind, Snow, Seismic Loads</dc:subject>
  <dc:creator>Mohamed Irhouma</dc:creator>
  <cp:lastModifiedBy>Mohamed Irhouma</cp:lastModifiedBy>
  <cp:lastPrinted>2025-09-14T10:20:07Z</cp:lastPrinted>
  <dcterms:created xsi:type="dcterms:W3CDTF">2024-10-31T17:24:16Z</dcterms:created>
  <dcterms:modified xsi:type="dcterms:W3CDTF">2025-09-15T09:17:41Z</dcterms:modified>
</cp:coreProperties>
</file>